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240" firstSheet="3" activeTab="10"/>
  </bookViews>
  <sheets>
    <sheet name="Титульный лист" sheetId="1" r:id="rId1"/>
    <sheet name="НП_ГП" sheetId="2" r:id="rId2"/>
    <sheet name="ОФФПП_ГП" sheetId="3" r:id="rId3"/>
    <sheet name="НП_СП" sheetId="4" r:id="rId4"/>
    <sheet name="ОФФПП_СП" sheetId="5" r:id="rId5"/>
    <sheet name="Расчет на 23 год " sheetId="6" r:id="rId6"/>
    <sheet name="Распределение  год" sheetId="7" r:id="rId7"/>
    <sheet name="Расчет на 24 год" sheetId="8" r:id="rId8"/>
    <sheet name="Распределение 24 год" sheetId="9" r:id="rId9"/>
    <sheet name="Распределение на 25 год" sheetId="10" r:id="rId10"/>
    <sheet name="Расчет на 25 год" sheetId="11" r:id="rId11"/>
    <sheet name="Лист1" sheetId="12" r:id="rId12"/>
  </sheets>
  <definedNames>
    <definedName name="solver_adj" localSheetId="2" hidden="1">'ОФФПП_ГП'!$I$5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'ОФФПП_ГП'!$I$12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697293.3</definedName>
    <definedName name="_xlnm.Print_Titles" localSheetId="2">'ОФФПП_ГП'!$4:$5</definedName>
    <definedName name="_xlnm.Print_Area" localSheetId="1">'НП_ГП'!$A$1:$P$14</definedName>
    <definedName name="_xlnm.Print_Area" localSheetId="2">'ОФФПП_ГП'!$A$1:$L$25</definedName>
    <definedName name="_xlnm.Print_Area" localSheetId="4">'ОФФПП_СП'!$A$1:$L$32</definedName>
  </definedNames>
  <calcPr fullCalcOnLoad="1"/>
</workbook>
</file>

<file path=xl/sharedStrings.xml><?xml version="1.0" encoding="utf-8"?>
<sst xmlns="http://schemas.openxmlformats.org/spreadsheetml/2006/main" count="296" uniqueCount="147">
  <si>
    <t>Наименование поселения</t>
  </si>
  <si>
    <t>Муниципальный район</t>
  </si>
  <si>
    <t>Коэффициент масштаба</t>
  </si>
  <si>
    <t xml:space="preserve">Индекс бюджетных расходов </t>
  </si>
  <si>
    <t>Индекс налогового потенциала</t>
  </si>
  <si>
    <t>Расчетная бюджетная обеспечен-ность до выравнивания</t>
  </si>
  <si>
    <t>Расчетный объем средств для доведения РБО до критерия выравнивания</t>
  </si>
  <si>
    <t>чел.</t>
  </si>
  <si>
    <t>1+(300/гр.3)</t>
  </si>
  <si>
    <t>тыс.руб.</t>
  </si>
  <si>
    <t xml:space="preserve">ИТОГО </t>
  </si>
  <si>
    <t>Расчет НП по земельному налогу</t>
  </si>
  <si>
    <t>Расчет НП по налогу на имущество физлиц</t>
  </si>
  <si>
    <t>Расчет НП по НДФЛ</t>
  </si>
  <si>
    <t>ИТОГО</t>
  </si>
  <si>
    <t>Дотация городским поселениям</t>
  </si>
  <si>
    <t>Дотация сельским поселениям</t>
  </si>
  <si>
    <t>ВСЕГО НАЛОГОВАЯ БАЗА</t>
  </si>
  <si>
    <t>ИТОГО по сельским поселениям</t>
  </si>
  <si>
    <t>ИТОГО по городским поселениям</t>
  </si>
  <si>
    <t>№ п/п</t>
  </si>
  <si>
    <t>Всего</t>
  </si>
  <si>
    <t>Дотация из ОБ городским поселениям</t>
  </si>
  <si>
    <t>ИБРki</t>
  </si>
  <si>
    <t>ИНПki</t>
  </si>
  <si>
    <t>НПki</t>
  </si>
  <si>
    <t>БОki</t>
  </si>
  <si>
    <t>Тki</t>
  </si>
  <si>
    <t>Д1ki</t>
  </si>
  <si>
    <t>Сk</t>
  </si>
  <si>
    <t>Нki</t>
  </si>
  <si>
    <t>Приложение 1 
к пояснительной записке</t>
  </si>
  <si>
    <t>Таблица 1 
к приложению 1 
к пояснительной записке</t>
  </si>
  <si>
    <t>4=1+(300/3)</t>
  </si>
  <si>
    <t>7=6/3*итого3/ итого6</t>
  </si>
  <si>
    <t>8=7/5</t>
  </si>
  <si>
    <t>9 =  ПНД(пс)гп / итого3*(КВБОгп-8)*5*3</t>
  </si>
  <si>
    <t>5=4*итого3/сумма(4*3)</t>
  </si>
  <si>
    <t>11=Ck*9/итого9</t>
  </si>
  <si>
    <t>Уровень, устанавливаемый в качестве критерия выравнивания расчетной бюджетной обеспеченности</t>
  </si>
  <si>
    <t>КВБОгп</t>
  </si>
  <si>
    <t>Всего дотация из ОБ</t>
  </si>
  <si>
    <t>Д1сп</t>
  </si>
  <si>
    <t>9 =  ПНД(пс)сп / итого3*(КВБОсп-8)*5*3</t>
  </si>
  <si>
    <t>k(мш)ki</t>
  </si>
  <si>
    <t>Д2гп</t>
  </si>
  <si>
    <t>Дk</t>
  </si>
  <si>
    <t>10=4+5+6+7+8+9</t>
  </si>
  <si>
    <t>11=10*13%/1000</t>
  </si>
  <si>
    <t>13=итого13*(2/итого2)</t>
  </si>
  <si>
    <t>14=итого14*(3/итого3)</t>
  </si>
  <si>
    <t>15=итого15*(11/итого11)</t>
  </si>
  <si>
    <t>12=2+3+11</t>
  </si>
  <si>
    <t>Д2сп</t>
  </si>
  <si>
    <t>Дсп</t>
  </si>
  <si>
    <t>Дгп</t>
  </si>
  <si>
    <t>Таблица 2
к приложению 1 
к пояснительной записке</t>
  </si>
  <si>
    <t>Таблица 4
к приложению 1 
к пояснительной записке</t>
  </si>
  <si>
    <t>городские поселения</t>
  </si>
  <si>
    <t>сельские поселения</t>
  </si>
  <si>
    <t>3=2*итого3/итого2</t>
  </si>
  <si>
    <t>Сумма дотации из РФФПП, 
тыс.руб.</t>
  </si>
  <si>
    <t>Дkгп</t>
  </si>
  <si>
    <t>Дkсп</t>
  </si>
  <si>
    <t>Д2ki</t>
  </si>
  <si>
    <t>Нkiгп</t>
  </si>
  <si>
    <t>Нkiсп</t>
  </si>
  <si>
    <t>Дотация из МБ городским поселениям</t>
  </si>
  <si>
    <t>Всего дотация из ОБ и МБ</t>
  </si>
  <si>
    <t>ОБ</t>
  </si>
  <si>
    <t>МБ</t>
  </si>
  <si>
    <t>12=Дk*9/итого9</t>
  </si>
  <si>
    <t>13=11+12</t>
  </si>
  <si>
    <r>
      <t xml:space="preserve">Расчетная бюджетная обеспечен-ность </t>
    </r>
    <r>
      <rPr>
        <b/>
        <sz val="8"/>
        <rFont val="Times New Roman"/>
        <family val="1"/>
      </rPr>
      <t>до выравнивания</t>
    </r>
  </si>
  <si>
    <t>Дотация из ОБ</t>
  </si>
  <si>
    <t>Дотация из ГП</t>
  </si>
  <si>
    <t>Таблица 3
к приложению 1 
к пояснительной записке</t>
  </si>
  <si>
    <t>Таблица 5 
к приложению 1 
к пояснительной записке</t>
  </si>
  <si>
    <t>Д1гп</t>
  </si>
  <si>
    <t>Дki</t>
  </si>
  <si>
    <t>Налоговая база по НДФЛ за 2019 год 10%</t>
  </si>
  <si>
    <t>Дотация из ОБ сельским поселениям</t>
  </si>
  <si>
    <t>Дотация из МБ сельским поселениям</t>
  </si>
  <si>
    <t>Таблица 6 
к приложению 1 
к пояснительной записке</t>
  </si>
  <si>
    <t>руб./чел.</t>
  </si>
  <si>
    <t>3=2/1</t>
  </si>
  <si>
    <t>5=3*4</t>
  </si>
  <si>
    <t>тыс.чел.</t>
  </si>
  <si>
    <t>7=5*6</t>
  </si>
  <si>
    <t>Еденицы измерения</t>
  </si>
  <si>
    <t>Показатели</t>
  </si>
  <si>
    <t>Сумма</t>
  </si>
  <si>
    <t>Дотация из ОБ и МБ сельским поселениям</t>
  </si>
  <si>
    <t>Дотация из ОБ и МБ городским поселениям</t>
  </si>
  <si>
    <t>Большеижорское городское поселение</t>
  </si>
  <si>
    <t>Виллозское городское поселение</t>
  </si>
  <si>
    <t>Лебяженское городское поселение</t>
  </si>
  <si>
    <t xml:space="preserve">Ломоносовский </t>
  </si>
  <si>
    <t>Аннинское городское поселение</t>
  </si>
  <si>
    <t>Расчет налогового потенциала для городских поселений Ломоносовского муниципального района</t>
  </si>
  <si>
    <t>Расчет налогового потенциала для сельских поселений Ломоносовского муниципального района</t>
  </si>
  <si>
    <t>Ломоносовский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</si>
  <si>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</si>
  <si>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</si>
  <si>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</si>
  <si>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</si>
  <si>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</si>
  <si>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</si>
  <si>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</si>
  <si>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</si>
  <si>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</si>
  <si>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</si>
  <si>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</si>
  <si>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Таблица 1
к приложению 1 
к пояснительной записке</t>
  </si>
  <si>
    <t>Сумма дотации из бюджета ЛМР на 2022 год</t>
  </si>
  <si>
    <t>Таблица 4 
к приложению 1 
к пояснительной записке</t>
  </si>
  <si>
    <t>Сумма дотации из бюджета ЛМР на 2023 год</t>
  </si>
  <si>
    <t>Индекс потребительских цен на 2023 год</t>
  </si>
  <si>
    <t>Дотация на 1 жителя в 2023 году</t>
  </si>
  <si>
    <t>руб.</t>
  </si>
  <si>
    <t>Численность населения ЛМР на 01.01.2021</t>
  </si>
  <si>
    <t>Сумма дотации из бюджета ЛМР на 2024 год</t>
  </si>
  <si>
    <t>Индекс потребительских цен на 2024 год</t>
  </si>
  <si>
    <t>Дотация на 1 жителя в 2024 году</t>
  </si>
  <si>
    <t>Дотация на 1 жителя в 2022 году</t>
  </si>
  <si>
    <t>Расчет обьема дотации  
на выравнивание бюджетной обеспеченности 
городских и сельских поселений за счет средств МЕСТНОГО бюджета
Ломоносовского муниципального района 
на 2023 - 2025 года</t>
  </si>
  <si>
    <t>Налоговый потенциал  по земельному налогу на 2023г</t>
  </si>
  <si>
    <t>Налоговый потенциал  по налогу на имущество на 2023г</t>
  </si>
  <si>
    <t>Налоговый потенциал по НДФЛ на 2023г</t>
  </si>
  <si>
    <t>численность населения на 01.01.2022</t>
  </si>
  <si>
    <t>Налоговый потенциал (ЗемН, НДФЛ, НИФЛ) на 2023 год</t>
  </si>
  <si>
    <t>прогноз налоговых доходов (ПНД) на 2023 год</t>
  </si>
  <si>
    <t>Расчет распределния дотации на выравнивание бюджетной обеспеченности сельских поселений на 2023 год</t>
  </si>
  <si>
    <t>прогноз налоговых доходов на 2023 год</t>
  </si>
  <si>
    <r>
      <t xml:space="preserve">Расчет объема дотации 
на выравнивание бюджетной обеспеченности 
муниципальных образований Ломоносовского муниципального района 
за счет средств бюджета Ломоносовского муниципального района                                            </t>
    </r>
    <r>
      <rPr>
        <b/>
        <sz val="18"/>
        <rFont val="Times New Roman"/>
        <family val="1"/>
      </rPr>
      <t>на 2023 год</t>
    </r>
  </si>
  <si>
    <t>Численность населения ЛМР на 01.01.2022</t>
  </si>
  <si>
    <t>Численность населения на 01.01.2022, чел.</t>
  </si>
  <si>
    <r>
      <t xml:space="preserve">Распределение дотации 
на выравнивание бюджетной обеспеченности 
муниципальных образований Ломоносовского муниципального района 
за счет средств бюджета Ломоносовского муниципального района                                                       </t>
    </r>
    <r>
      <rPr>
        <b/>
        <sz val="18"/>
        <rFont val="Times New Roman"/>
        <family val="1"/>
      </rPr>
      <t>на 2023 год</t>
    </r>
    <r>
      <rPr>
        <b/>
        <sz val="14"/>
        <rFont val="Times New Roman"/>
        <family val="1"/>
      </rPr>
      <t xml:space="preserve"> 
в разрезе городских и сельских поселений 
Ломоносовского муниципального района</t>
    </r>
  </si>
  <si>
    <r>
      <t xml:space="preserve">Расчет объема дотации 
на выравнивание бюджетной обеспеченности 
муниципальных образований Ломоносовского муниципального района 
за счет средств бюджета Ломоносовского муниципального района                                                      </t>
    </r>
    <r>
      <rPr>
        <b/>
        <sz val="16"/>
        <rFont val="Times New Roman"/>
        <family val="1"/>
      </rPr>
      <t xml:space="preserve">  на 2024 год</t>
    </r>
  </si>
  <si>
    <t>Численность населения ЛМР на 01.01.20212</t>
  </si>
  <si>
    <r>
      <t xml:space="preserve">Расчет объема дотации 
на выравнивание бюджетной обеспеченности 
муниципальных образований Ломоносовского муниципального района 
за счет средств бюджета Ломоносовского муниципального района                                                         </t>
    </r>
    <r>
      <rPr>
        <b/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на 2025 год</t>
    </r>
  </si>
  <si>
    <t>Индекс потребительских цен на 2025 год</t>
  </si>
  <si>
    <t>Дотация на 1 жителя в 2025 году</t>
  </si>
  <si>
    <t>Сумма дотации из бюджета ЛМР на 2025 год</t>
  </si>
  <si>
    <r>
      <t xml:space="preserve">Распределение дотации 
на выравнивание бюджетной обеспеченности 
муниципальных образований Ломоносовского муниципального района 
за счет средств бюджета Ломоносовского муниципального района                        </t>
    </r>
    <r>
      <rPr>
        <b/>
        <sz val="16"/>
        <rFont val="Times New Roman"/>
        <family val="1"/>
      </rPr>
      <t xml:space="preserve"> на 2025 год</t>
    </r>
    <r>
      <rPr>
        <b/>
        <sz val="14"/>
        <rFont val="Times New Roman"/>
        <family val="1"/>
      </rPr>
      <t xml:space="preserve">
в разрезе городских и сельских поселений 
Ломоносовского муниципального района</t>
    </r>
  </si>
  <si>
    <t>Распределение дотации 
на выравнивание бюджетной обеспеченности 
муниципальных образований Ломоносовского муниципального района                                    на 2024 год
за счет средств бюджета Ломоносовского муниципального района 
в разрезе городских и сельских поселений 
Ломоносовского муниципального района</t>
  </si>
  <si>
    <t>Расчет распределения дотации на выравнивание бюджетной обеспеченности городских поселений на 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</si>
</sst>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#,##0.0"/>
    <numFmt numFmtId="176" formatCode="0.0"/>
    <numFmt numFmtId="177" formatCode="#,##0.0000"/>
    <numFmt numFmtId="178" formatCode="0.0000000000"/>
    <numFmt numFmtId="179" formatCode="#,##0.0_ ;\-#,##0.0\ "/>
    <numFmt numFmtId="180" formatCode="#,##0.00000"/>
    <numFmt numFmtId="181" formatCode="#,##0.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 CYR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3" fontId="7" fillId="16" borderId="15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74" fontId="7" fillId="16" borderId="15" xfId="0" applyNumberFormat="1" applyFont="1" applyFill="1" applyBorder="1" applyAlignment="1">
      <alignment horizontal="center" vertical="center"/>
    </xf>
    <xf numFmtId="174" fontId="7" fillId="16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75" fontId="7" fillId="33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16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74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172" fontId="7" fillId="16" borderId="1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/>
    </xf>
    <xf numFmtId="175" fontId="7" fillId="16" borderId="1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3" fontId="5" fillId="16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3" fontId="12" fillId="16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175" fontId="12" fillId="0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5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175" fontId="6" fillId="0" borderId="10" xfId="0" applyNumberFormat="1" applyFont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4" borderId="1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175" fontId="7" fillId="34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178" fontId="7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="50" zoomScaleNormal="50" zoomScalePageLayoutView="0" workbookViewId="0" topLeftCell="A1">
      <selection activeCell="A4" sqref="A4"/>
    </sheetView>
  </sheetViews>
  <sheetFormatPr defaultColWidth="9.00390625" defaultRowHeight="12.75"/>
  <cols>
    <col min="1" max="1" width="127.875" style="0" customWidth="1"/>
  </cols>
  <sheetData>
    <row r="1" ht="31.5">
      <c r="A1" s="10" t="s">
        <v>31</v>
      </c>
    </row>
    <row r="2" ht="238.5" customHeight="1">
      <c r="A2" s="126" t="s">
        <v>125</v>
      </c>
    </row>
    <row r="3" ht="220.5" customHeight="1">
      <c r="A3" s="126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F26" sqref="F26:F27"/>
    </sheetView>
  </sheetViews>
  <sheetFormatPr defaultColWidth="9.00390625" defaultRowHeight="12.75"/>
  <cols>
    <col min="1" max="1" width="35.625" style="0" customWidth="1"/>
    <col min="2" max="2" width="15.125" style="0" customWidth="1"/>
    <col min="3" max="3" width="14.125" style="0" customWidth="1"/>
    <col min="4" max="4" width="15.875" style="0" customWidth="1"/>
    <col min="5" max="5" width="15.375" style="0" customWidth="1"/>
  </cols>
  <sheetData>
    <row r="1" spans="1:5" ht="45" customHeight="1">
      <c r="A1" s="152" t="s">
        <v>83</v>
      </c>
      <c r="B1" s="152"/>
      <c r="C1" s="152"/>
      <c r="D1" s="152"/>
      <c r="E1" s="152"/>
    </row>
    <row r="2" spans="1:5" ht="138" customHeight="1">
      <c r="A2" s="155" t="s">
        <v>144</v>
      </c>
      <c r="B2" s="155"/>
      <c r="C2" s="155"/>
      <c r="D2" s="155"/>
      <c r="E2" s="155"/>
    </row>
    <row r="3" spans="1:5" ht="67.5" customHeight="1">
      <c r="A3" s="58"/>
      <c r="B3" s="156" t="s">
        <v>136</v>
      </c>
      <c r="C3" s="157"/>
      <c r="D3" s="156" t="s">
        <v>61</v>
      </c>
      <c r="E3" s="157"/>
    </row>
    <row r="4" spans="1:5" ht="25.5" customHeight="1">
      <c r="A4" s="62">
        <v>1</v>
      </c>
      <c r="B4" s="156">
        <v>2</v>
      </c>
      <c r="C4" s="157"/>
      <c r="D4" s="156" t="s">
        <v>60</v>
      </c>
      <c r="E4" s="157"/>
    </row>
    <row r="5" spans="1:5" ht="27.75" customHeight="1">
      <c r="A5" s="58" t="s">
        <v>58</v>
      </c>
      <c r="B5" s="62" t="s">
        <v>65</v>
      </c>
      <c r="C5" s="60">
        <v>33354</v>
      </c>
      <c r="D5" s="60" t="s">
        <v>62</v>
      </c>
      <c r="E5" s="116">
        <f>C5*E7/C7</f>
        <v>19974.800975102975</v>
      </c>
    </row>
    <row r="6" spans="1:5" ht="24.75" customHeight="1">
      <c r="A6" s="58" t="s">
        <v>59</v>
      </c>
      <c r="B6" s="68" t="s">
        <v>66</v>
      </c>
      <c r="C6" s="60">
        <v>48463</v>
      </c>
      <c r="D6" s="60" t="s">
        <v>63</v>
      </c>
      <c r="E6" s="116">
        <f>C6*E7/C7</f>
        <v>29023.169024897026</v>
      </c>
    </row>
    <row r="7" spans="1:5" ht="26.25" customHeight="1">
      <c r="A7" s="63" t="s">
        <v>14</v>
      </c>
      <c r="B7" s="69" t="s">
        <v>30</v>
      </c>
      <c r="C7" s="64">
        <f>C5+C6</f>
        <v>81817</v>
      </c>
      <c r="D7" s="64" t="s">
        <v>64</v>
      </c>
      <c r="E7" s="65">
        <v>48997.97</v>
      </c>
    </row>
  </sheetData>
  <sheetProtection/>
  <mergeCells count="6">
    <mergeCell ref="A1:E1"/>
    <mergeCell ref="A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58.25390625" style="0" customWidth="1"/>
    <col min="3" max="3" width="19.125" style="0" customWidth="1"/>
    <col min="4" max="4" width="18.625" style="0" customWidth="1"/>
    <col min="5" max="5" width="5.25390625" style="0" customWidth="1"/>
    <col min="6" max="6" width="14.25390625" style="0" customWidth="1"/>
  </cols>
  <sheetData>
    <row r="1" spans="1:4" ht="45" customHeight="1">
      <c r="A1" s="152" t="s">
        <v>77</v>
      </c>
      <c r="B1" s="152"/>
      <c r="C1" s="152"/>
      <c r="D1" s="152"/>
    </row>
    <row r="2" spans="1:4" ht="102.75" customHeight="1">
      <c r="A2" s="151" t="s">
        <v>140</v>
      </c>
      <c r="B2" s="151"/>
      <c r="C2" s="151"/>
      <c r="D2" s="151"/>
    </row>
    <row r="3" spans="1:4" ht="57.75" customHeight="1">
      <c r="A3" s="101" t="s">
        <v>20</v>
      </c>
      <c r="B3" s="101" t="s">
        <v>90</v>
      </c>
      <c r="C3" s="101" t="s">
        <v>89</v>
      </c>
      <c r="D3" s="101" t="s">
        <v>91</v>
      </c>
    </row>
    <row r="4" spans="1:4" ht="22.5" customHeight="1">
      <c r="A4" s="62">
        <v>1</v>
      </c>
      <c r="B4" s="58" t="s">
        <v>135</v>
      </c>
      <c r="C4" s="62" t="s">
        <v>87</v>
      </c>
      <c r="D4" s="60">
        <v>81817</v>
      </c>
    </row>
    <row r="5" spans="1:4" ht="21.75" customHeight="1">
      <c r="A5" s="62">
        <v>2</v>
      </c>
      <c r="B5" s="58" t="s">
        <v>121</v>
      </c>
      <c r="C5" s="62" t="s">
        <v>119</v>
      </c>
      <c r="D5" s="116">
        <v>47113.41</v>
      </c>
    </row>
    <row r="6" spans="1:4" ht="22.5" customHeight="1">
      <c r="A6" s="62" t="s">
        <v>85</v>
      </c>
      <c r="B6" s="58" t="s">
        <v>123</v>
      </c>
      <c r="C6" s="62" t="s">
        <v>84</v>
      </c>
      <c r="D6" s="99">
        <f>D5/D4</f>
        <v>0.5758388843394405</v>
      </c>
    </row>
    <row r="7" spans="1:4" ht="21.75" customHeight="1">
      <c r="A7" s="62">
        <v>4</v>
      </c>
      <c r="B7" s="58" t="s">
        <v>141</v>
      </c>
      <c r="C7" s="62"/>
      <c r="D7" s="99">
        <v>1.04</v>
      </c>
    </row>
    <row r="8" spans="1:4" ht="21" customHeight="1">
      <c r="A8" s="62" t="s">
        <v>86</v>
      </c>
      <c r="B8" s="58" t="s">
        <v>142</v>
      </c>
      <c r="C8" s="62" t="s">
        <v>84</v>
      </c>
      <c r="D8" s="99">
        <f>D6*D7</f>
        <v>0.5988724397130182</v>
      </c>
    </row>
    <row r="9" spans="1:4" ht="23.25" customHeight="1">
      <c r="A9" s="62">
        <v>6</v>
      </c>
      <c r="B9" s="58" t="s">
        <v>135</v>
      </c>
      <c r="C9" s="62" t="s">
        <v>87</v>
      </c>
      <c r="D9" s="60">
        <v>81817</v>
      </c>
    </row>
    <row r="10" spans="1:4" ht="27.75" customHeight="1">
      <c r="A10" s="100" t="s">
        <v>88</v>
      </c>
      <c r="B10" s="63" t="s">
        <v>143</v>
      </c>
      <c r="C10" s="100" t="s">
        <v>9</v>
      </c>
      <c r="D10" s="122">
        <f>D8*D9</f>
        <v>48997.94640000001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B17" sqref="B17:C17"/>
    </sheetView>
  </sheetViews>
  <sheetFormatPr defaultColWidth="9.00390625" defaultRowHeight="12.75"/>
  <cols>
    <col min="1" max="1" width="41.625" style="88" customWidth="1"/>
    <col min="2" max="2" width="18.875" style="88" customWidth="1"/>
    <col min="3" max="3" width="21.375" style="88" customWidth="1"/>
    <col min="4" max="4" width="17.375" style="88" customWidth="1"/>
    <col min="5" max="10" width="15.125" style="88" hidden="1" customWidth="1"/>
    <col min="11" max="11" width="13.75390625" style="88" hidden="1" customWidth="1"/>
    <col min="12" max="12" width="15.625" style="88" hidden="1" customWidth="1"/>
    <col min="13" max="13" width="13.375" style="88" hidden="1" customWidth="1"/>
    <col min="14" max="14" width="11.125" style="88" hidden="1" customWidth="1"/>
    <col min="15" max="15" width="10.125" style="88" hidden="1" customWidth="1"/>
    <col min="16" max="16" width="32.375" style="88" customWidth="1"/>
    <col min="17" max="16384" width="9.125" style="88" customWidth="1"/>
  </cols>
  <sheetData>
    <row r="1" spans="1:17" ht="48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9" t="s">
        <v>32</v>
      </c>
      <c r="O1" s="129"/>
      <c r="P1" s="129"/>
      <c r="Q1" s="95"/>
    </row>
    <row r="2" spans="1:16" ht="27" customHeight="1">
      <c r="A2" s="127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08" customHeight="1">
      <c r="A3" s="2" t="s">
        <v>0</v>
      </c>
      <c r="B3" s="6" t="s">
        <v>126</v>
      </c>
      <c r="C3" s="7" t="s">
        <v>127</v>
      </c>
      <c r="D3" s="128" t="s">
        <v>128</v>
      </c>
      <c r="E3" s="128"/>
      <c r="F3" s="128"/>
      <c r="G3" s="128"/>
      <c r="H3" s="128"/>
      <c r="I3" s="128"/>
      <c r="J3" s="128"/>
      <c r="K3" s="7"/>
      <c r="L3" s="7" t="s">
        <v>17</v>
      </c>
      <c r="M3" s="3" t="s">
        <v>11</v>
      </c>
      <c r="N3" s="3" t="s">
        <v>12</v>
      </c>
      <c r="O3" s="3" t="s">
        <v>13</v>
      </c>
      <c r="P3" s="2" t="s">
        <v>14</v>
      </c>
    </row>
    <row r="4" spans="1:16" ht="26.25" customHeight="1">
      <c r="A4" s="2">
        <v>1</v>
      </c>
      <c r="B4" s="6">
        <v>2</v>
      </c>
      <c r="C4" s="7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 t="s">
        <v>47</v>
      </c>
      <c r="K4" s="7"/>
      <c r="L4" s="7" t="s">
        <v>52</v>
      </c>
      <c r="M4" s="3" t="s">
        <v>49</v>
      </c>
      <c r="N4" s="3" t="s">
        <v>50</v>
      </c>
      <c r="O4" s="3" t="s">
        <v>51</v>
      </c>
      <c r="P4" s="2"/>
    </row>
    <row r="5" spans="1:16" ht="34.5" customHeight="1">
      <c r="A5" s="2"/>
      <c r="B5" s="6"/>
      <c r="C5" s="7"/>
      <c r="D5" s="9"/>
      <c r="E5" s="9"/>
      <c r="F5" s="9"/>
      <c r="G5" s="9"/>
      <c r="H5" s="9"/>
      <c r="I5" s="9"/>
      <c r="J5" s="9"/>
      <c r="K5" s="7"/>
      <c r="L5" s="7"/>
      <c r="M5" s="3"/>
      <c r="N5" s="3"/>
      <c r="O5" s="3"/>
      <c r="P5" s="2"/>
    </row>
    <row r="6" spans="1:16" ht="15" customHeight="1">
      <c r="A6" s="4" t="s">
        <v>98</v>
      </c>
      <c r="B6" s="102">
        <v>104568.4</v>
      </c>
      <c r="C6" s="102">
        <v>2201.1</v>
      </c>
      <c r="D6" s="102">
        <v>29097.8</v>
      </c>
      <c r="E6" s="89"/>
      <c r="F6" s="89"/>
      <c r="G6" s="89"/>
      <c r="H6" s="89"/>
      <c r="I6" s="89"/>
      <c r="J6" s="102"/>
      <c r="K6" s="90"/>
      <c r="L6" s="12"/>
      <c r="M6" s="11"/>
      <c r="N6" s="11"/>
      <c r="O6" s="11"/>
      <c r="P6" s="103">
        <v>135867.3</v>
      </c>
    </row>
    <row r="7" spans="1:16" ht="15" customHeight="1">
      <c r="A7" s="4" t="s">
        <v>94</v>
      </c>
      <c r="B7" s="102">
        <v>6266.4</v>
      </c>
      <c r="C7" s="102">
        <v>389.9</v>
      </c>
      <c r="D7" s="102">
        <v>7736.4</v>
      </c>
      <c r="E7" s="89"/>
      <c r="F7" s="89">
        <v>0</v>
      </c>
      <c r="G7" s="89"/>
      <c r="H7" s="89"/>
      <c r="I7" s="89"/>
      <c r="J7" s="102"/>
      <c r="K7" s="90"/>
      <c r="L7" s="12"/>
      <c r="M7" s="11"/>
      <c r="N7" s="11"/>
      <c r="O7" s="11"/>
      <c r="P7" s="103">
        <v>14392.7</v>
      </c>
    </row>
    <row r="8" spans="1:16" ht="15" customHeight="1">
      <c r="A8" s="4" t="s">
        <v>95</v>
      </c>
      <c r="B8" s="102">
        <v>94352</v>
      </c>
      <c r="C8" s="102">
        <v>4621.2</v>
      </c>
      <c r="D8" s="102">
        <v>284597.4</v>
      </c>
      <c r="E8" s="89">
        <v>0</v>
      </c>
      <c r="F8" s="89">
        <v>0</v>
      </c>
      <c r="G8" s="89"/>
      <c r="H8" s="89">
        <v>0</v>
      </c>
      <c r="I8" s="89">
        <v>0</v>
      </c>
      <c r="J8" s="90"/>
      <c r="K8" s="90"/>
      <c r="L8" s="12"/>
      <c r="M8" s="11"/>
      <c r="N8" s="11"/>
      <c r="O8" s="11"/>
      <c r="P8" s="103">
        <v>383570.6</v>
      </c>
    </row>
    <row r="9" spans="1:16" ht="15" customHeight="1">
      <c r="A9" s="4" t="s">
        <v>96</v>
      </c>
      <c r="B9" s="102">
        <v>9988.2</v>
      </c>
      <c r="C9" s="102">
        <v>657.8</v>
      </c>
      <c r="D9" s="102">
        <v>9378.2</v>
      </c>
      <c r="E9" s="89"/>
      <c r="F9" s="89"/>
      <c r="G9" s="89"/>
      <c r="H9" s="89"/>
      <c r="I9" s="89"/>
      <c r="J9" s="90"/>
      <c r="K9" s="90">
        <f>(J9*13%)/1000</f>
        <v>0</v>
      </c>
      <c r="L9" s="12"/>
      <c r="M9" s="11"/>
      <c r="N9" s="11"/>
      <c r="O9" s="11"/>
      <c r="P9" s="103">
        <v>20024.2</v>
      </c>
    </row>
    <row r="10" spans="1:16" ht="15" customHeight="1">
      <c r="A10" s="4"/>
      <c r="B10" s="102"/>
      <c r="C10" s="102"/>
      <c r="D10" s="90"/>
      <c r="E10" s="89"/>
      <c r="F10" s="89"/>
      <c r="G10" s="89"/>
      <c r="H10" s="89"/>
      <c r="I10" s="89"/>
      <c r="J10" s="90"/>
      <c r="K10" s="90"/>
      <c r="L10" s="12"/>
      <c r="M10" s="11"/>
      <c r="N10" s="11"/>
      <c r="O10" s="11"/>
      <c r="P10" s="11"/>
    </row>
    <row r="11" spans="1:16" ht="15" customHeight="1">
      <c r="A11" s="4"/>
      <c r="B11" s="102"/>
      <c r="C11" s="102"/>
      <c r="D11" s="90"/>
      <c r="E11" s="89"/>
      <c r="F11" s="89"/>
      <c r="G11" s="89"/>
      <c r="H11" s="89"/>
      <c r="I11" s="89"/>
      <c r="J11" s="90"/>
      <c r="K11" s="90"/>
      <c r="L11" s="12"/>
      <c r="M11" s="11"/>
      <c r="N11" s="11"/>
      <c r="O11" s="11"/>
      <c r="P11" s="11"/>
    </row>
    <row r="12" spans="1:16" ht="16.5" customHeight="1">
      <c r="A12" s="5" t="s">
        <v>19</v>
      </c>
      <c r="B12" s="112">
        <f>SUM(B6:B11)</f>
        <v>215175</v>
      </c>
      <c r="C12" s="112">
        <f>SUM(C6:C11)</f>
        <v>7870</v>
      </c>
      <c r="D12" s="112">
        <f aca="true" t="shared" si="0" ref="D12:J12">SUM(D6:D11)</f>
        <v>330809.80000000005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>SUM(K6:K11)</f>
        <v>0</v>
      </c>
      <c r="L12" s="13">
        <f>SUM(L6:L11)</f>
        <v>0</v>
      </c>
      <c r="M12" s="13">
        <v>259800</v>
      </c>
      <c r="N12" s="13">
        <v>7300</v>
      </c>
      <c r="O12" s="112">
        <v>269092.7</v>
      </c>
      <c r="P12" s="112">
        <f>SUM(P6:P11)</f>
        <v>553854.7999999999</v>
      </c>
    </row>
    <row r="14" spans="11:16" ht="12.75">
      <c r="K14" s="96"/>
      <c r="M14" s="96"/>
      <c r="N14" s="96"/>
      <c r="O14" s="96"/>
      <c r="P14" s="96"/>
    </row>
    <row r="17" spans="2:3" s="97" customFormat="1" ht="20.25">
      <c r="B17" s="123"/>
      <c r="C17" s="123"/>
    </row>
  </sheetData>
  <sheetProtection/>
  <mergeCells count="3">
    <mergeCell ref="A2:P2"/>
    <mergeCell ref="D3:J3"/>
    <mergeCell ref="N1:P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9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1.375" style="14" customWidth="1"/>
    <col min="2" max="2" width="15.625" style="15" customWidth="1"/>
    <col min="3" max="3" width="10.25390625" style="14" customWidth="1"/>
    <col min="4" max="4" width="9.875" style="14" customWidth="1"/>
    <col min="5" max="5" width="10.25390625" style="14" bestFit="1" customWidth="1"/>
    <col min="6" max="6" width="12.625" style="14" customWidth="1"/>
    <col min="7" max="7" width="8.75390625" style="14" customWidth="1"/>
    <col min="8" max="8" width="10.25390625" style="14" customWidth="1"/>
    <col min="9" max="9" width="13.375" style="14" customWidth="1"/>
    <col min="10" max="10" width="10.00390625" style="14" customWidth="1"/>
    <col min="11" max="11" width="11.125" style="14" customWidth="1"/>
    <col min="12" max="12" width="11.625" style="14" customWidth="1"/>
    <col min="13" max="16384" width="9.125" style="14" customWidth="1"/>
  </cols>
  <sheetData>
    <row r="1" spans="9:12" ht="48.75" customHeight="1">
      <c r="I1" s="137" t="s">
        <v>56</v>
      </c>
      <c r="J1" s="137"/>
      <c r="K1" s="137"/>
      <c r="L1" s="137"/>
    </row>
    <row r="2" spans="1:12" ht="39" customHeight="1">
      <c r="A2" s="138" t="s">
        <v>146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4" spans="1:12" ht="77.25" customHeight="1">
      <c r="A4" s="131" t="s">
        <v>0</v>
      </c>
      <c r="B4" s="133" t="s">
        <v>1</v>
      </c>
      <c r="C4" s="16" t="s">
        <v>129</v>
      </c>
      <c r="D4" s="17" t="s">
        <v>2</v>
      </c>
      <c r="E4" s="135" t="s">
        <v>3</v>
      </c>
      <c r="F4" s="16" t="s">
        <v>130</v>
      </c>
      <c r="G4" s="135" t="s">
        <v>4</v>
      </c>
      <c r="H4" s="135" t="s">
        <v>5</v>
      </c>
      <c r="I4" s="18" t="s">
        <v>6</v>
      </c>
      <c r="J4" s="139" t="s">
        <v>15</v>
      </c>
      <c r="K4" s="139"/>
      <c r="L4" s="139"/>
    </row>
    <row r="5" spans="1:12" ht="17.25" customHeight="1">
      <c r="A5" s="132"/>
      <c r="B5" s="134"/>
      <c r="C5" s="20" t="s">
        <v>7</v>
      </c>
      <c r="D5" s="20"/>
      <c r="E5" s="136"/>
      <c r="F5" s="16" t="s">
        <v>9</v>
      </c>
      <c r="G5" s="136"/>
      <c r="H5" s="136"/>
      <c r="I5" s="22">
        <f>0.510685339467166*1.25</f>
        <v>0.6383566743339575</v>
      </c>
      <c r="J5" s="48" t="s">
        <v>69</v>
      </c>
      <c r="K5" s="48" t="s">
        <v>70</v>
      </c>
      <c r="L5" s="48" t="s">
        <v>21</v>
      </c>
    </row>
    <row r="6" spans="1:12" ht="17.25" customHeight="1">
      <c r="A6" s="19"/>
      <c r="B6" s="19"/>
      <c r="C6" s="20" t="s">
        <v>30</v>
      </c>
      <c r="D6" s="20" t="s">
        <v>44</v>
      </c>
      <c r="E6" s="21" t="s">
        <v>23</v>
      </c>
      <c r="F6" s="16" t="s">
        <v>25</v>
      </c>
      <c r="G6" s="21" t="s">
        <v>24</v>
      </c>
      <c r="H6" s="21" t="s">
        <v>26</v>
      </c>
      <c r="I6" s="24" t="s">
        <v>27</v>
      </c>
      <c r="J6" s="23" t="s">
        <v>78</v>
      </c>
      <c r="K6" s="23" t="s">
        <v>45</v>
      </c>
      <c r="L6" s="23" t="s">
        <v>55</v>
      </c>
    </row>
    <row r="7" spans="1:12" s="30" customFormat="1" ht="29.25" customHeight="1">
      <c r="A7" s="25">
        <v>1</v>
      </c>
      <c r="B7" s="25">
        <v>2</v>
      </c>
      <c r="C7" s="26">
        <v>3</v>
      </c>
      <c r="D7" s="26" t="s">
        <v>33</v>
      </c>
      <c r="E7" s="27" t="s">
        <v>37</v>
      </c>
      <c r="F7" s="28">
        <v>6</v>
      </c>
      <c r="G7" s="26" t="s">
        <v>34</v>
      </c>
      <c r="H7" s="26" t="s">
        <v>35</v>
      </c>
      <c r="I7" s="29" t="s">
        <v>36</v>
      </c>
      <c r="J7" s="70" t="s">
        <v>38</v>
      </c>
      <c r="K7" s="26" t="s">
        <v>71</v>
      </c>
      <c r="L7" s="28" t="s">
        <v>72</v>
      </c>
    </row>
    <row r="8" spans="1:12" ht="15" customHeight="1">
      <c r="A8" s="4" t="s">
        <v>98</v>
      </c>
      <c r="B8" s="31" t="s">
        <v>97</v>
      </c>
      <c r="C8" s="32">
        <v>13565</v>
      </c>
      <c r="D8" s="33">
        <f>1+300/C8</f>
        <v>1.0221157390342794</v>
      </c>
      <c r="E8" s="34">
        <f>D8/SUMPRODUCT(D$8:D$11,C$8:C$11)*$C$12</f>
        <v>0.9866194466559401</v>
      </c>
      <c r="F8" s="57">
        <f>НП_ГП!P6</f>
        <v>135867.3</v>
      </c>
      <c r="G8" s="34">
        <f>F8/C8*$C$12/$F$12</f>
        <v>0.6031802979684299</v>
      </c>
      <c r="H8" s="34">
        <f>G8/E8</f>
        <v>0.6113606416464387</v>
      </c>
      <c r="I8" s="117">
        <f>IF(H8&lt;$I$5,($I$5-H8)*$F$14/$C$12*E8*C8,0)</f>
        <v>6102.217533898809</v>
      </c>
      <c r="J8" s="117">
        <f>ROUND(I8/$I$12*I$19,1)</f>
        <v>1825.1</v>
      </c>
      <c r="K8" s="117">
        <f>ROUND(I8/$I$12*I$20,1)</f>
        <v>1855.7</v>
      </c>
      <c r="L8" s="57">
        <f>SUM(J8:K8)</f>
        <v>3680.8</v>
      </c>
    </row>
    <row r="9" spans="1:12" ht="15" customHeight="1">
      <c r="A9" s="4" t="s">
        <v>94</v>
      </c>
      <c r="B9" s="31" t="s">
        <v>97</v>
      </c>
      <c r="C9" s="32">
        <v>2766</v>
      </c>
      <c r="D9" s="33">
        <f>1+300/C9</f>
        <v>1.1084598698481563</v>
      </c>
      <c r="E9" s="34">
        <f>D9/SUMPRODUCT(D$8:D$11,C$8:C$11)*$C$12</f>
        <v>1.0699649967851885</v>
      </c>
      <c r="F9" s="57">
        <f>НП_ГП!P7</f>
        <v>14392.7</v>
      </c>
      <c r="G9" s="34">
        <f>F9/C9*$C$12/$F$12</f>
        <v>0.31335894606155323</v>
      </c>
      <c r="H9" s="34">
        <f>G9/E9</f>
        <v>0.2928684087825956</v>
      </c>
      <c r="I9" s="117">
        <f>IF(H9&lt;$I$5,($I$5-H9)*$F$14/$C$12*E9*C9,0)</f>
        <v>17269.24368967768</v>
      </c>
      <c r="J9" s="117">
        <f>ROUND(I9/$I$12*I$19,1)</f>
        <v>5164.9</v>
      </c>
      <c r="K9" s="117">
        <f>ROUND(I9/$I$12*I$20,1)-0.1</f>
        <v>5251.7</v>
      </c>
      <c r="L9" s="57">
        <f>SUM(J9:K9)</f>
        <v>10416.599999999999</v>
      </c>
    </row>
    <row r="10" spans="1:12" ht="15" customHeight="1">
      <c r="A10" s="4" t="s">
        <v>95</v>
      </c>
      <c r="B10" s="31" t="s">
        <v>97</v>
      </c>
      <c r="C10" s="32">
        <v>11810</v>
      </c>
      <c r="D10" s="33">
        <f>1+300/C10</f>
        <v>1.0254022015241322</v>
      </c>
      <c r="E10" s="34">
        <f>D10/SUMPRODUCT(D$8:D$11,C$8:C$11)*$C$12</f>
        <v>0.9897917760501217</v>
      </c>
      <c r="F10" s="57">
        <f>НП_ГП!P8</f>
        <v>383570.6</v>
      </c>
      <c r="G10" s="34">
        <f>F10/C10*$C$12/$F$12</f>
        <v>1.9559034592728433</v>
      </c>
      <c r="H10" s="34">
        <f>G10/E10</f>
        <v>1.976075682380492</v>
      </c>
      <c r="I10" s="117">
        <f>IF(H10&lt;$I$5,($I$5-H10)*$F$14/$C$12*E10*C10,0)</f>
        <v>0</v>
      </c>
      <c r="J10" s="117">
        <f>ROUND(I10/$I$12*I$19,1)</f>
        <v>0</v>
      </c>
      <c r="K10" s="117">
        <f>ROUND(I10/$I$12*I$20,1)</f>
        <v>0</v>
      </c>
      <c r="L10" s="57">
        <f>SUM(J10:K10)</f>
        <v>0</v>
      </c>
    </row>
    <row r="11" spans="1:12" ht="15" customHeight="1">
      <c r="A11" s="4" t="s">
        <v>96</v>
      </c>
      <c r="B11" s="31" t="s">
        <v>97</v>
      </c>
      <c r="C11" s="32">
        <v>5213</v>
      </c>
      <c r="D11" s="33">
        <f>1+300/C11</f>
        <v>1.0575484366008057</v>
      </c>
      <c r="E11" s="34">
        <f>D11/SUMPRODUCT(D$8:D$11,C$8:C$11)*$C$12</f>
        <v>1.020821628592443</v>
      </c>
      <c r="F11" s="57">
        <f>НП_ГП!P9</f>
        <v>20024.2</v>
      </c>
      <c r="G11" s="34">
        <f>F11/C11*$C$12/$F$12</f>
        <v>0.23132333766347865</v>
      </c>
      <c r="H11" s="34">
        <f>G11/E11</f>
        <v>0.226605051445117</v>
      </c>
      <c r="I11" s="117">
        <f>IF(H11&lt;$I$5,($I$5-H11)*$F$14/$C$12*E11*C11,0)</f>
        <v>37007.62189488976</v>
      </c>
      <c r="J11" s="117">
        <f>ROUND(I11/$I$12*I$19,1)</f>
        <v>11068.4</v>
      </c>
      <c r="K11" s="117">
        <f>ROUND(I11/$I$12*I$20,1)+0.1</f>
        <v>11254.5</v>
      </c>
      <c r="L11" s="57">
        <f>SUM(J11:K11)</f>
        <v>22322.9</v>
      </c>
    </row>
    <row r="12" spans="1:12" ht="20.25" customHeight="1">
      <c r="A12" s="36" t="s">
        <v>10</v>
      </c>
      <c r="B12" s="37"/>
      <c r="C12" s="35">
        <f>SUM(C8:C11)</f>
        <v>33354</v>
      </c>
      <c r="D12" s="38">
        <v>1</v>
      </c>
      <c r="E12" s="39">
        <v>1</v>
      </c>
      <c r="F12" s="57">
        <f>SUM(F8:F11)</f>
        <v>553854.7999999999</v>
      </c>
      <c r="G12" s="34">
        <f>F12/C12*$C$12/$F$12</f>
        <v>1</v>
      </c>
      <c r="H12" s="34">
        <f>G12/E12</f>
        <v>1</v>
      </c>
      <c r="I12" s="117">
        <f>SUM(I8:I11)</f>
        <v>60379.08311846625</v>
      </c>
      <c r="J12" s="117">
        <f>SUM(J8:J11)</f>
        <v>18058.4</v>
      </c>
      <c r="K12" s="57">
        <f>SUM(K8:K11)</f>
        <v>18361.9</v>
      </c>
      <c r="L12" s="57">
        <f>SUM(L8:L11)</f>
        <v>36420.3</v>
      </c>
    </row>
    <row r="13" spans="3:10" ht="12.75">
      <c r="C13" s="40"/>
      <c r="D13" s="40"/>
      <c r="E13" s="40"/>
      <c r="F13" s="41"/>
      <c r="G13" s="40"/>
      <c r="H13" s="40"/>
      <c r="I13" s="42"/>
      <c r="J13" s="42"/>
    </row>
    <row r="14" spans="1:10" ht="12.75">
      <c r="A14" s="43"/>
      <c r="B14" s="44"/>
      <c r="C14" s="142" t="s">
        <v>131</v>
      </c>
      <c r="D14" s="142"/>
      <c r="E14" s="142"/>
      <c r="F14" s="79">
        <v>563334.3</v>
      </c>
      <c r="G14" s="46"/>
      <c r="H14" s="46"/>
      <c r="I14" s="47"/>
      <c r="J14" s="47"/>
    </row>
    <row r="15" spans="3:12" ht="12.75">
      <c r="C15" s="142"/>
      <c r="D15" s="142"/>
      <c r="E15" s="142"/>
      <c r="F15" s="48" t="s">
        <v>9</v>
      </c>
      <c r="G15" s="49"/>
      <c r="H15" s="49"/>
      <c r="I15" s="47"/>
      <c r="J15" s="47"/>
      <c r="L15" s="47"/>
    </row>
    <row r="16" spans="3:7" ht="12.75">
      <c r="C16" s="43"/>
      <c r="F16" s="46"/>
      <c r="G16" s="40"/>
    </row>
    <row r="17" spans="3:11" ht="12.75">
      <c r="C17" s="43"/>
      <c r="F17" s="46"/>
      <c r="G17" s="50"/>
      <c r="I17" s="51"/>
      <c r="J17" s="40"/>
      <c r="K17" s="52"/>
    </row>
    <row r="18" spans="3:10" ht="18" customHeight="1">
      <c r="C18" s="43"/>
      <c r="D18" s="143" t="s">
        <v>93</v>
      </c>
      <c r="E18" s="143"/>
      <c r="F18" s="143"/>
      <c r="G18" s="143"/>
      <c r="H18" s="53" t="s">
        <v>55</v>
      </c>
      <c r="I18" s="118">
        <f>I19+I20</f>
        <v>36420.28589507913</v>
      </c>
      <c r="J18" s="82"/>
    </row>
    <row r="19" spans="3:10" ht="18" customHeight="1">
      <c r="C19" s="43"/>
      <c r="D19" s="144" t="s">
        <v>22</v>
      </c>
      <c r="E19" s="145"/>
      <c r="F19" s="145"/>
      <c r="G19" s="146"/>
      <c r="H19" s="53" t="s">
        <v>29</v>
      </c>
      <c r="I19" s="118">
        <v>18058.4</v>
      </c>
      <c r="J19" s="82"/>
    </row>
    <row r="20" spans="3:10" ht="18" customHeight="1">
      <c r="C20" s="43"/>
      <c r="D20" s="144" t="s">
        <v>67</v>
      </c>
      <c r="E20" s="145"/>
      <c r="F20" s="145"/>
      <c r="G20" s="146"/>
      <c r="H20" s="53" t="s">
        <v>46</v>
      </c>
      <c r="I20" s="118">
        <f>'Распределение  год'!E5</f>
        <v>18361.88589507913</v>
      </c>
      <c r="J20" s="82"/>
    </row>
    <row r="21" spans="1:10" ht="39.75" customHeight="1">
      <c r="A21" s="47"/>
      <c r="C21" s="43"/>
      <c r="D21" s="140" t="s">
        <v>39</v>
      </c>
      <c r="E21" s="140"/>
      <c r="F21" s="140"/>
      <c r="G21" s="140"/>
      <c r="H21" s="55" t="s">
        <v>40</v>
      </c>
      <c r="I21" s="34">
        <f>I5</f>
        <v>0.6383566743339575</v>
      </c>
      <c r="J21" s="56"/>
    </row>
    <row r="22" spans="3:10" ht="15.75" customHeight="1">
      <c r="C22" s="43"/>
      <c r="D22" s="141" t="s">
        <v>68</v>
      </c>
      <c r="E22" s="141"/>
      <c r="F22" s="141"/>
      <c r="G22" s="141"/>
      <c r="H22" s="55" t="s">
        <v>79</v>
      </c>
      <c r="I22" s="57">
        <f>I24+I25</f>
        <v>114854.70681410594</v>
      </c>
      <c r="J22" s="56"/>
    </row>
    <row r="23" spans="3:10" ht="12.75">
      <c r="C23" s="43"/>
      <c r="F23" s="46"/>
      <c r="G23" s="40"/>
      <c r="I23" s="119">
        <f>ОФФПП_СП!L19+L12</f>
        <v>114854.7</v>
      </c>
      <c r="J23" s="47"/>
    </row>
    <row r="24" spans="1:10" ht="12.75">
      <c r="A24" s="47"/>
      <c r="B24" s="71"/>
      <c r="C24" s="71"/>
      <c r="D24" s="130" t="s">
        <v>74</v>
      </c>
      <c r="E24" s="130"/>
      <c r="F24" s="130"/>
      <c r="G24" s="130"/>
      <c r="H24" s="48" t="s">
        <v>28</v>
      </c>
      <c r="I24" s="57">
        <f>I19+ОФФПП_СП!I26</f>
        <v>69813.20000000001</v>
      </c>
      <c r="J24" s="47"/>
    </row>
    <row r="25" spans="4:10" ht="12.75">
      <c r="D25" s="130" t="s">
        <v>75</v>
      </c>
      <c r="E25" s="130"/>
      <c r="F25" s="130"/>
      <c r="G25" s="130"/>
      <c r="H25" s="48" t="s">
        <v>64</v>
      </c>
      <c r="I25" s="57">
        <f>I20+ОФФПП_СП!I27</f>
        <v>45041.50681410593</v>
      </c>
      <c r="J25" s="47"/>
    </row>
    <row r="26" spans="6:10" ht="12.75">
      <c r="F26" s="46"/>
      <c r="G26" s="40"/>
      <c r="I26" s="47"/>
      <c r="J26" s="47"/>
    </row>
    <row r="27" spans="6:10" ht="12.75">
      <c r="F27" s="46"/>
      <c r="G27" s="40"/>
      <c r="I27" s="47"/>
      <c r="J27" s="47"/>
    </row>
    <row r="28" spans="6:10" ht="12.75">
      <c r="F28" s="46"/>
      <c r="G28" s="40"/>
      <c r="I28" s="47"/>
      <c r="J28" s="47"/>
    </row>
    <row r="29" spans="6:10" ht="12.75">
      <c r="F29" s="40"/>
      <c r="G29" s="40"/>
      <c r="I29" s="47"/>
      <c r="J29" s="47"/>
    </row>
  </sheetData>
  <sheetProtection/>
  <mergeCells count="16">
    <mergeCell ref="I1:L1"/>
    <mergeCell ref="D24:G24"/>
    <mergeCell ref="A2:L2"/>
    <mergeCell ref="J4:L4"/>
    <mergeCell ref="D21:G21"/>
    <mergeCell ref="D22:G22"/>
    <mergeCell ref="C14:E15"/>
    <mergeCell ref="D18:G18"/>
    <mergeCell ref="D19:G19"/>
    <mergeCell ref="D20:G20"/>
    <mergeCell ref="D25:G25"/>
    <mergeCell ref="A4:A5"/>
    <mergeCell ref="B4:B5"/>
    <mergeCell ref="E4:E5"/>
    <mergeCell ref="G4:G5"/>
    <mergeCell ref="H4:H5"/>
  </mergeCells>
  <printOptions horizontalCentered="1"/>
  <pageMargins left="0.1968503937007874" right="0" top="0.6692913385826772" bottom="0.35433070866141736" header="0.4330708661417323" footer="0"/>
  <pageSetup fitToHeight="1" fitToWidth="1" horizontalDpi="600" verticalDpi="6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selection activeCell="A26" sqref="A26"/>
    </sheetView>
  </sheetViews>
  <sheetFormatPr defaultColWidth="9.00390625" defaultRowHeight="12.75"/>
  <cols>
    <col min="1" max="1" width="46.25390625" style="84" customWidth="1"/>
    <col min="2" max="2" width="17.125" style="84" customWidth="1"/>
    <col min="3" max="3" width="16.00390625" style="84" customWidth="1"/>
    <col min="4" max="4" width="15.75390625" style="84" customWidth="1"/>
    <col min="5" max="9" width="12.875" style="84" hidden="1" customWidth="1"/>
    <col min="10" max="10" width="15.00390625" style="84" hidden="1" customWidth="1"/>
    <col min="11" max="12" width="12.875" style="84" hidden="1" customWidth="1"/>
    <col min="13" max="15" width="12.00390625" style="84" hidden="1" customWidth="1"/>
    <col min="16" max="16" width="17.375" style="84" customWidth="1"/>
    <col min="17" max="16384" width="9.125" style="84" customWidth="1"/>
  </cols>
  <sheetData>
    <row r="1" spans="1:16" ht="38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48" t="s">
        <v>76</v>
      </c>
      <c r="O1" s="149"/>
      <c r="P1" s="149"/>
    </row>
    <row r="2" spans="1:16" ht="30.75" customHeight="1">
      <c r="A2" s="147" t="s">
        <v>100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03.5" customHeight="1">
      <c r="A3" s="85" t="s">
        <v>0</v>
      </c>
      <c r="B3" s="6" t="s">
        <v>126</v>
      </c>
      <c r="C3" s="7" t="s">
        <v>127</v>
      </c>
      <c r="D3" s="128" t="s">
        <v>128</v>
      </c>
      <c r="E3" s="128"/>
      <c r="F3" s="128"/>
      <c r="G3" s="128"/>
      <c r="H3" s="128"/>
      <c r="I3" s="128"/>
      <c r="J3" s="128"/>
      <c r="K3" s="86" t="s">
        <v>80</v>
      </c>
      <c r="L3" s="86" t="s">
        <v>17</v>
      </c>
      <c r="M3" s="87" t="s">
        <v>11</v>
      </c>
      <c r="N3" s="87" t="s">
        <v>12</v>
      </c>
      <c r="O3" s="87" t="s">
        <v>13</v>
      </c>
      <c r="P3" s="85" t="s">
        <v>14</v>
      </c>
    </row>
    <row r="4" spans="1:16" s="88" customFormat="1" ht="25.5" customHeight="1">
      <c r="A4" s="2">
        <v>1</v>
      </c>
      <c r="B4" s="6">
        <v>2</v>
      </c>
      <c r="C4" s="7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 t="s">
        <v>47</v>
      </c>
      <c r="K4" s="7" t="s">
        <v>48</v>
      </c>
      <c r="L4" s="7" t="s">
        <v>52</v>
      </c>
      <c r="M4" s="3" t="s">
        <v>49</v>
      </c>
      <c r="N4" s="3" t="s">
        <v>50</v>
      </c>
      <c r="O4" s="3" t="s">
        <v>51</v>
      </c>
      <c r="P4" s="2"/>
    </row>
    <row r="5" spans="1:16" s="88" customFormat="1" ht="34.5" customHeight="1">
      <c r="A5" s="2"/>
      <c r="B5" s="6"/>
      <c r="C5" s="7"/>
      <c r="D5" s="9"/>
      <c r="E5" s="9"/>
      <c r="F5" s="9"/>
      <c r="G5" s="9"/>
      <c r="H5" s="9"/>
      <c r="I5" s="9"/>
      <c r="J5" s="9"/>
      <c r="K5" s="7"/>
      <c r="L5" s="7"/>
      <c r="M5" s="3"/>
      <c r="N5" s="3"/>
      <c r="O5" s="3"/>
      <c r="P5" s="2"/>
    </row>
    <row r="6" spans="1:16" ht="15.75" customHeight="1">
      <c r="A6" s="104" t="s">
        <v>102</v>
      </c>
      <c r="B6" s="102">
        <v>25489</v>
      </c>
      <c r="C6" s="102">
        <v>3074.4</v>
      </c>
      <c r="D6" s="102">
        <v>39118.3</v>
      </c>
      <c r="E6" s="89"/>
      <c r="F6" s="89"/>
      <c r="G6" s="89"/>
      <c r="H6" s="89"/>
      <c r="I6" s="89"/>
      <c r="J6" s="90"/>
      <c r="K6" s="90"/>
      <c r="L6" s="90"/>
      <c r="M6" s="91"/>
      <c r="N6" s="91"/>
      <c r="O6" s="91"/>
      <c r="P6" s="106">
        <f>B6+C6+D6</f>
        <v>67681.70000000001</v>
      </c>
    </row>
    <row r="7" spans="1:16" ht="15.75" customHeight="1">
      <c r="A7" s="104" t="s">
        <v>103</v>
      </c>
      <c r="B7" s="102">
        <v>20054.1</v>
      </c>
      <c r="C7" s="102">
        <v>590.7</v>
      </c>
      <c r="D7" s="102">
        <v>3556.2</v>
      </c>
      <c r="E7" s="89"/>
      <c r="F7" s="89"/>
      <c r="G7" s="89"/>
      <c r="H7" s="89"/>
      <c r="I7" s="89"/>
      <c r="J7" s="90"/>
      <c r="K7" s="90"/>
      <c r="L7" s="90"/>
      <c r="M7" s="91"/>
      <c r="N7" s="91"/>
      <c r="O7" s="91"/>
      <c r="P7" s="106">
        <f aca="true" t="shared" si="0" ref="P7:P16">B7+C7+D7</f>
        <v>24201</v>
      </c>
    </row>
    <row r="8" spans="1:16" ht="15.75" customHeight="1">
      <c r="A8" s="104" t="s">
        <v>104</v>
      </c>
      <c r="B8" s="102">
        <v>14685.4</v>
      </c>
      <c r="C8" s="102">
        <v>762.8</v>
      </c>
      <c r="D8" s="102">
        <v>6539.9</v>
      </c>
      <c r="E8" s="89"/>
      <c r="F8" s="89"/>
      <c r="G8" s="89"/>
      <c r="H8" s="89"/>
      <c r="I8" s="89"/>
      <c r="J8" s="90"/>
      <c r="K8" s="90"/>
      <c r="L8" s="90"/>
      <c r="M8" s="91"/>
      <c r="N8" s="91"/>
      <c r="O8" s="91"/>
      <c r="P8" s="106">
        <f t="shared" si="0"/>
        <v>21988.1</v>
      </c>
    </row>
    <row r="9" spans="1:16" ht="15.75" customHeight="1">
      <c r="A9" s="104" t="s">
        <v>105</v>
      </c>
      <c r="B9" s="102">
        <v>5658.4</v>
      </c>
      <c r="C9" s="102">
        <v>603.5</v>
      </c>
      <c r="D9" s="102">
        <v>1864.7</v>
      </c>
      <c r="E9" s="89"/>
      <c r="F9" s="89"/>
      <c r="G9" s="89"/>
      <c r="H9" s="89"/>
      <c r="I9" s="89"/>
      <c r="J9" s="90"/>
      <c r="K9" s="90"/>
      <c r="L9" s="90"/>
      <c r="M9" s="91"/>
      <c r="N9" s="91"/>
      <c r="O9" s="91"/>
      <c r="P9" s="106">
        <f t="shared" si="0"/>
        <v>8126.599999999999</v>
      </c>
    </row>
    <row r="10" spans="1:16" ht="15.75" customHeight="1">
      <c r="A10" s="104" t="s">
        <v>106</v>
      </c>
      <c r="B10" s="102">
        <v>21954</v>
      </c>
      <c r="C10" s="102">
        <v>580.2</v>
      </c>
      <c r="D10" s="102">
        <v>8890.2</v>
      </c>
      <c r="E10" s="89"/>
      <c r="F10" s="89"/>
      <c r="G10" s="89"/>
      <c r="H10" s="89"/>
      <c r="I10" s="89"/>
      <c r="J10" s="90"/>
      <c r="K10" s="90"/>
      <c r="L10" s="90"/>
      <c r="M10" s="91"/>
      <c r="N10" s="91"/>
      <c r="O10" s="91"/>
      <c r="P10" s="106">
        <f t="shared" si="0"/>
        <v>31424.4</v>
      </c>
    </row>
    <row r="11" spans="1:16" ht="15.75" customHeight="1">
      <c r="A11" s="104" t="s">
        <v>107</v>
      </c>
      <c r="B11" s="102">
        <v>32575.5</v>
      </c>
      <c r="C11" s="102">
        <v>722.7</v>
      </c>
      <c r="D11" s="102">
        <v>2357.5</v>
      </c>
      <c r="E11" s="89"/>
      <c r="F11" s="89"/>
      <c r="G11" s="89"/>
      <c r="H11" s="89"/>
      <c r="I11" s="89"/>
      <c r="J11" s="90"/>
      <c r="K11" s="90"/>
      <c r="L11" s="90"/>
      <c r="M11" s="91"/>
      <c r="N11" s="91"/>
      <c r="O11" s="91"/>
      <c r="P11" s="106">
        <f t="shared" si="0"/>
        <v>35655.7</v>
      </c>
    </row>
    <row r="12" spans="1:16" ht="15.75" customHeight="1">
      <c r="A12" s="104" t="s">
        <v>108</v>
      </c>
      <c r="B12" s="102">
        <v>73291</v>
      </c>
      <c r="C12" s="102">
        <v>1302.9</v>
      </c>
      <c r="D12" s="102">
        <v>13891.4</v>
      </c>
      <c r="E12" s="89"/>
      <c r="F12" s="89"/>
      <c r="G12" s="89"/>
      <c r="H12" s="89"/>
      <c r="I12" s="89"/>
      <c r="J12" s="90"/>
      <c r="K12" s="90"/>
      <c r="L12" s="90"/>
      <c r="M12" s="91"/>
      <c r="N12" s="91"/>
      <c r="O12" s="91"/>
      <c r="P12" s="106">
        <f t="shared" si="0"/>
        <v>88485.29999999999</v>
      </c>
    </row>
    <row r="13" spans="1:16" ht="15.75" customHeight="1">
      <c r="A13" s="104" t="s">
        <v>109</v>
      </c>
      <c r="B13" s="102">
        <v>7992.5</v>
      </c>
      <c r="C13" s="102">
        <v>418</v>
      </c>
      <c r="D13" s="102">
        <v>949</v>
      </c>
      <c r="E13" s="89"/>
      <c r="F13" s="89"/>
      <c r="G13" s="89"/>
      <c r="H13" s="89"/>
      <c r="I13" s="89"/>
      <c r="J13" s="90"/>
      <c r="K13" s="90"/>
      <c r="L13" s="90"/>
      <c r="M13" s="91"/>
      <c r="N13" s="91"/>
      <c r="O13" s="91"/>
      <c r="P13" s="106">
        <f t="shared" si="0"/>
        <v>9359.5</v>
      </c>
    </row>
    <row r="14" spans="1:16" ht="15.75" customHeight="1">
      <c r="A14" s="104" t="s">
        <v>110</v>
      </c>
      <c r="B14" s="102">
        <v>23945.8</v>
      </c>
      <c r="C14" s="102">
        <v>1230.8</v>
      </c>
      <c r="D14" s="102">
        <v>6453.6</v>
      </c>
      <c r="E14" s="89"/>
      <c r="F14" s="89"/>
      <c r="G14" s="89"/>
      <c r="H14" s="89"/>
      <c r="I14" s="89"/>
      <c r="J14" s="90"/>
      <c r="K14" s="90"/>
      <c r="L14" s="90"/>
      <c r="M14" s="91"/>
      <c r="N14" s="91"/>
      <c r="O14" s="91"/>
      <c r="P14" s="106">
        <f t="shared" si="0"/>
        <v>31630.199999999997</v>
      </c>
    </row>
    <row r="15" spans="1:16" ht="15.75" customHeight="1">
      <c r="A15" s="104" t="s">
        <v>111</v>
      </c>
      <c r="B15" s="102">
        <v>31041.3</v>
      </c>
      <c r="C15" s="102">
        <v>1709.9</v>
      </c>
      <c r="D15" s="102">
        <v>6850.6</v>
      </c>
      <c r="E15" s="89"/>
      <c r="F15" s="89"/>
      <c r="G15" s="89"/>
      <c r="H15" s="89"/>
      <c r="I15" s="89"/>
      <c r="J15" s="90"/>
      <c r="K15" s="90"/>
      <c r="L15" s="90"/>
      <c r="M15" s="91"/>
      <c r="N15" s="91"/>
      <c r="O15" s="91"/>
      <c r="P15" s="106">
        <f t="shared" si="0"/>
        <v>39601.8</v>
      </c>
    </row>
    <row r="16" spans="1:16" ht="15.75" customHeight="1">
      <c r="A16" s="104" t="s">
        <v>112</v>
      </c>
      <c r="B16" s="102">
        <v>3863</v>
      </c>
      <c r="C16" s="102">
        <v>483.1</v>
      </c>
      <c r="D16" s="102">
        <v>6584</v>
      </c>
      <c r="E16" s="89"/>
      <c r="F16" s="89"/>
      <c r="G16" s="89"/>
      <c r="H16" s="89"/>
      <c r="I16" s="89"/>
      <c r="J16" s="90"/>
      <c r="K16" s="90"/>
      <c r="L16" s="90"/>
      <c r="M16" s="91"/>
      <c r="N16" s="91"/>
      <c r="O16" s="91"/>
      <c r="P16" s="106">
        <f t="shared" si="0"/>
        <v>10930.1</v>
      </c>
    </row>
    <row r="17" spans="1:16" ht="19.5" customHeight="1">
      <c r="A17" s="92" t="s">
        <v>18</v>
      </c>
      <c r="B17" s="93">
        <f>SUM(B6:B16)</f>
        <v>260549.99999999997</v>
      </c>
      <c r="C17" s="105">
        <f>SUM(C6:C16)</f>
        <v>11479</v>
      </c>
      <c r="D17" s="105">
        <f aca="true" t="shared" si="1" ref="D17:J17">SUM(D6:D16)</f>
        <v>97055.40000000001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93">
        <f t="shared" si="1"/>
        <v>0</v>
      </c>
      <c r="J17" s="93">
        <f t="shared" si="1"/>
        <v>0</v>
      </c>
      <c r="K17" s="93">
        <f>SUM(K6:K16)</f>
        <v>0</v>
      </c>
      <c r="L17" s="93">
        <f>SUM(L6:L16)</f>
        <v>0</v>
      </c>
      <c r="M17" s="94">
        <v>295600</v>
      </c>
      <c r="N17" s="94">
        <v>10850</v>
      </c>
      <c r="O17" s="94">
        <v>85615</v>
      </c>
      <c r="P17" s="107">
        <f>SUM(P6:P16)</f>
        <v>369084.39999999997</v>
      </c>
    </row>
    <row r="18" spans="1:16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22" spans="1:2" s="98" customFormat="1" ht="20.25">
      <c r="A22" s="120"/>
      <c r="B22" s="120"/>
    </row>
  </sheetData>
  <sheetProtection/>
  <mergeCells count="3">
    <mergeCell ref="A2:P2"/>
    <mergeCell ref="D3:J3"/>
    <mergeCell ref="N1:P1"/>
  </mergeCells>
  <printOptions/>
  <pageMargins left="0.2559055118110236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34.375" style="14" customWidth="1"/>
    <col min="2" max="2" width="14.75390625" style="15" customWidth="1"/>
    <col min="3" max="3" width="9.25390625" style="14" customWidth="1"/>
    <col min="4" max="4" width="10.125" style="14" customWidth="1"/>
    <col min="5" max="5" width="10.00390625" style="14" customWidth="1"/>
    <col min="6" max="6" width="12.375" style="14" customWidth="1"/>
    <col min="7" max="7" width="9.375" style="14" customWidth="1"/>
    <col min="8" max="8" width="11.00390625" style="14" customWidth="1"/>
    <col min="9" max="9" width="12.125" style="14" customWidth="1"/>
    <col min="10" max="10" width="12.375" style="14" customWidth="1"/>
    <col min="11" max="11" width="11.875" style="14" customWidth="1"/>
    <col min="12" max="12" width="12.75390625" style="14" customWidth="1"/>
    <col min="13" max="16384" width="9.125" style="14" customWidth="1"/>
  </cols>
  <sheetData>
    <row r="1" spans="8:12" ht="40.5" customHeight="1">
      <c r="H1" s="148" t="s">
        <v>57</v>
      </c>
      <c r="I1" s="148"/>
      <c r="J1" s="148"/>
      <c r="K1" s="148"/>
      <c r="L1" s="148"/>
    </row>
    <row r="2" spans="1:12" ht="36" customHeight="1">
      <c r="A2" s="138" t="s">
        <v>132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4" spans="1:12" ht="77.25" customHeight="1">
      <c r="A4" s="131" t="s">
        <v>0</v>
      </c>
      <c r="B4" s="67" t="s">
        <v>1</v>
      </c>
      <c r="C4" s="16" t="s">
        <v>129</v>
      </c>
      <c r="D4" s="17" t="s">
        <v>2</v>
      </c>
      <c r="E4" s="135" t="s">
        <v>3</v>
      </c>
      <c r="F4" s="16" t="s">
        <v>130</v>
      </c>
      <c r="G4" s="135" t="s">
        <v>4</v>
      </c>
      <c r="H4" s="135" t="s">
        <v>73</v>
      </c>
      <c r="I4" s="16" t="s">
        <v>6</v>
      </c>
      <c r="J4" s="139" t="s">
        <v>16</v>
      </c>
      <c r="K4" s="139"/>
      <c r="L4" s="139"/>
    </row>
    <row r="5" spans="1:12" ht="15.75" customHeight="1">
      <c r="A5" s="132"/>
      <c r="B5" s="20"/>
      <c r="C5" s="20" t="s">
        <v>7</v>
      </c>
      <c r="D5" s="20" t="s">
        <v>8</v>
      </c>
      <c r="E5" s="136"/>
      <c r="F5" s="16" t="s">
        <v>9</v>
      </c>
      <c r="G5" s="136"/>
      <c r="H5" s="136"/>
      <c r="I5" s="22">
        <f>0.937882530322925*1.25</f>
        <v>1.1723531629036563</v>
      </c>
      <c r="J5" s="72" t="s">
        <v>69</v>
      </c>
      <c r="K5" s="48" t="s">
        <v>70</v>
      </c>
      <c r="L5" s="48" t="s">
        <v>21</v>
      </c>
    </row>
    <row r="6" spans="1:12" ht="17.25" customHeight="1">
      <c r="A6" s="19"/>
      <c r="B6" s="19"/>
      <c r="C6" s="20" t="s">
        <v>30</v>
      </c>
      <c r="D6" s="20" t="s">
        <v>44</v>
      </c>
      <c r="E6" s="21" t="s">
        <v>23</v>
      </c>
      <c r="F6" s="16" t="s">
        <v>25</v>
      </c>
      <c r="G6" s="21" t="s">
        <v>24</v>
      </c>
      <c r="H6" s="21" t="s">
        <v>26</v>
      </c>
      <c r="I6" s="24" t="s">
        <v>27</v>
      </c>
      <c r="J6" s="23" t="s">
        <v>42</v>
      </c>
      <c r="K6" s="81" t="s">
        <v>53</v>
      </c>
      <c r="L6" s="81" t="s">
        <v>54</v>
      </c>
    </row>
    <row r="7" spans="1:12" s="30" customFormat="1" ht="29.25" customHeight="1">
      <c r="A7" s="25">
        <v>1</v>
      </c>
      <c r="B7" s="25">
        <v>2</v>
      </c>
      <c r="C7" s="26">
        <v>3</v>
      </c>
      <c r="D7" s="26" t="s">
        <v>33</v>
      </c>
      <c r="E7" s="27" t="s">
        <v>37</v>
      </c>
      <c r="F7" s="28">
        <v>6</v>
      </c>
      <c r="G7" s="26" t="s">
        <v>34</v>
      </c>
      <c r="H7" s="26" t="s">
        <v>35</v>
      </c>
      <c r="I7" s="29" t="s">
        <v>43</v>
      </c>
      <c r="J7" s="70" t="s">
        <v>38</v>
      </c>
      <c r="K7" s="28" t="s">
        <v>71</v>
      </c>
      <c r="L7" s="28" t="s">
        <v>72</v>
      </c>
    </row>
    <row r="8" spans="1:12" ht="12.75">
      <c r="A8" s="104" t="s">
        <v>102</v>
      </c>
      <c r="B8" s="73" t="s">
        <v>101</v>
      </c>
      <c r="C8" s="45">
        <v>8756</v>
      </c>
      <c r="D8" s="74">
        <f>1+300/C8</f>
        <v>1.0342622201918685</v>
      </c>
      <c r="E8" s="74">
        <f aca="true" t="shared" si="0" ref="E8:E18">D8/SUMPRODUCT(D$8:D$18,C$8:C$18)*$C$19</f>
        <v>0.968325830750894</v>
      </c>
      <c r="F8" s="57">
        <f>НП_СП!P6</f>
        <v>67681.70000000001</v>
      </c>
      <c r="G8" s="74">
        <f aca="true" t="shared" si="1" ref="G8:G18">F8/C8*$C$19/$F$19</f>
        <v>1.0149627674957258</v>
      </c>
      <c r="H8" s="74">
        <f>G8/E8</f>
        <v>1.048162442086944</v>
      </c>
      <c r="I8" s="117">
        <f aca="true" t="shared" si="2" ref="I8:I18">ROUND(IF(H8&lt;$I$5,($I$5-H8)*$F$21/$C$19*E8*C8,0),1)</f>
        <v>8447</v>
      </c>
      <c r="J8" s="117">
        <f>ROUND(I8/$I$19*I$26,1)</f>
        <v>3403</v>
      </c>
      <c r="K8" s="117">
        <f>ROUND(I8/$I$19*I$27,1)</f>
        <v>1754.2</v>
      </c>
      <c r="L8" s="57">
        <f>J8+K8</f>
        <v>5157.2</v>
      </c>
    </row>
    <row r="9" spans="1:12" ht="12.75">
      <c r="A9" s="104" t="s">
        <v>103</v>
      </c>
      <c r="B9" s="73" t="s">
        <v>101</v>
      </c>
      <c r="C9" s="45">
        <v>4867</v>
      </c>
      <c r="D9" s="74">
        <f aca="true" t="shared" si="3" ref="D9:D18">1+300/C9</f>
        <v>1.0616396137250874</v>
      </c>
      <c r="E9" s="74">
        <f t="shared" si="0"/>
        <v>0.9939578579286152</v>
      </c>
      <c r="F9" s="57">
        <f>НП_СП!P7</f>
        <v>24201</v>
      </c>
      <c r="G9" s="74">
        <f t="shared" si="1"/>
        <v>0.6529148866727639</v>
      </c>
      <c r="H9" s="74">
        <f aca="true" t="shared" si="4" ref="H9:H19">G9/E9</f>
        <v>0.6568838723539276</v>
      </c>
      <c r="I9" s="117">
        <f t="shared" si="2"/>
        <v>20004</v>
      </c>
      <c r="J9" s="117">
        <f aca="true" t="shared" si="5" ref="J9:J18">ROUND(I9/$I$19*I$26,1)</f>
        <v>8058.9</v>
      </c>
      <c r="K9" s="117">
        <f aca="true" t="shared" si="6" ref="K9:K16">ROUND(I9/$I$19*I$27,1)</f>
        <v>4154.3</v>
      </c>
      <c r="L9" s="57">
        <f aca="true" t="shared" si="7" ref="L9:L19">J9+K9</f>
        <v>12213.2</v>
      </c>
    </row>
    <row r="10" spans="1:12" ht="12.75">
      <c r="A10" s="104" t="s">
        <v>104</v>
      </c>
      <c r="B10" s="73" t="s">
        <v>101</v>
      </c>
      <c r="C10" s="45">
        <v>5169</v>
      </c>
      <c r="D10" s="74">
        <f t="shared" si="3"/>
        <v>1.0580383052814857</v>
      </c>
      <c r="E10" s="74">
        <f t="shared" si="0"/>
        <v>0.9905861404643596</v>
      </c>
      <c r="F10" s="57">
        <f>НП_СП!P8</f>
        <v>21988.1</v>
      </c>
      <c r="G10" s="74">
        <f t="shared" si="1"/>
        <v>0.558554784950893</v>
      </c>
      <c r="H10" s="74">
        <f t="shared" si="4"/>
        <v>0.5638629111942327</v>
      </c>
      <c r="I10" s="117">
        <f t="shared" si="2"/>
        <v>24994.1</v>
      </c>
      <c r="J10" s="117">
        <f t="shared" si="5"/>
        <v>10069.2</v>
      </c>
      <c r="K10" s="117">
        <f t="shared" si="6"/>
        <v>5190.7</v>
      </c>
      <c r="L10" s="57">
        <f t="shared" si="7"/>
        <v>15259.900000000001</v>
      </c>
    </row>
    <row r="11" spans="1:12" ht="12.75">
      <c r="A11" s="104" t="s">
        <v>105</v>
      </c>
      <c r="B11" s="73" t="s">
        <v>101</v>
      </c>
      <c r="C11" s="45">
        <v>2362</v>
      </c>
      <c r="D11" s="74">
        <f t="shared" si="3"/>
        <v>1.1270110076206605</v>
      </c>
      <c r="E11" s="74">
        <f t="shared" si="0"/>
        <v>1.0551616881231782</v>
      </c>
      <c r="F11" s="57">
        <f>НП_СП!P9</f>
        <v>8126.599999999999</v>
      </c>
      <c r="G11" s="74">
        <f t="shared" si="1"/>
        <v>0.4517660553294428</v>
      </c>
      <c r="H11" s="74">
        <f t="shared" si="4"/>
        <v>0.4281486528694967</v>
      </c>
      <c r="I11" s="117">
        <f t="shared" si="2"/>
        <v>14879.1</v>
      </c>
      <c r="J11" s="117">
        <f t="shared" si="5"/>
        <v>5994.2</v>
      </c>
      <c r="K11" s="117">
        <f t="shared" si="6"/>
        <v>3090</v>
      </c>
      <c r="L11" s="57">
        <f t="shared" si="7"/>
        <v>9084.2</v>
      </c>
    </row>
    <row r="12" spans="1:12" ht="12.75">
      <c r="A12" s="104" t="s">
        <v>106</v>
      </c>
      <c r="B12" s="73" t="s">
        <v>101</v>
      </c>
      <c r="C12" s="45">
        <v>3724</v>
      </c>
      <c r="D12" s="74">
        <f t="shared" si="3"/>
        <v>1.0805585392051558</v>
      </c>
      <c r="E12" s="74">
        <f t="shared" si="0"/>
        <v>1.0116706621621518</v>
      </c>
      <c r="F12" s="57">
        <f>НП_СП!P10</f>
        <v>31424.4</v>
      </c>
      <c r="G12" s="74">
        <f t="shared" si="1"/>
        <v>1.1080055283807655</v>
      </c>
      <c r="H12" s="74">
        <f t="shared" si="4"/>
        <v>1.095223544402015</v>
      </c>
      <c r="I12" s="117">
        <f t="shared" si="2"/>
        <v>2331.1</v>
      </c>
      <c r="J12" s="117">
        <f t="shared" si="5"/>
        <v>939.1</v>
      </c>
      <c r="K12" s="117">
        <f>ROUND(I12/$I$19*I$27,1)</f>
        <v>484.1</v>
      </c>
      <c r="L12" s="57">
        <f t="shared" si="7"/>
        <v>1423.2</v>
      </c>
    </row>
    <row r="13" spans="1:12" ht="12.75">
      <c r="A13" s="104" t="s">
        <v>107</v>
      </c>
      <c r="B13" s="73" t="s">
        <v>101</v>
      </c>
      <c r="C13" s="45">
        <v>2878</v>
      </c>
      <c r="D13" s="74">
        <f t="shared" si="3"/>
        <v>1.1042390548992356</v>
      </c>
      <c r="E13" s="74">
        <f t="shared" si="0"/>
        <v>1.0338414952298292</v>
      </c>
      <c r="F13" s="57">
        <f>НП_СП!P11</f>
        <v>35655.7</v>
      </c>
      <c r="G13" s="74">
        <f t="shared" si="1"/>
        <v>1.6267573692674466</v>
      </c>
      <c r="H13" s="74">
        <f t="shared" si="4"/>
        <v>1.5735075219686445</v>
      </c>
      <c r="I13" s="117">
        <f t="shared" si="2"/>
        <v>0</v>
      </c>
      <c r="J13" s="117">
        <f t="shared" si="5"/>
        <v>0</v>
      </c>
      <c r="K13" s="117">
        <f t="shared" si="6"/>
        <v>0</v>
      </c>
      <c r="L13" s="57">
        <f t="shared" si="7"/>
        <v>0</v>
      </c>
    </row>
    <row r="14" spans="1:12" ht="12.75">
      <c r="A14" s="104" t="s">
        <v>108</v>
      </c>
      <c r="B14" s="73" t="s">
        <v>101</v>
      </c>
      <c r="C14" s="45">
        <v>4984</v>
      </c>
      <c r="D14" s="74">
        <f t="shared" si="3"/>
        <v>1.0601926163723916</v>
      </c>
      <c r="E14" s="74">
        <f t="shared" si="0"/>
        <v>0.9926031096971817</v>
      </c>
      <c r="F14" s="57">
        <f>НП_СП!P12</f>
        <v>88485.29999999999</v>
      </c>
      <c r="G14" s="74">
        <f t="shared" si="1"/>
        <v>2.3311901497779193</v>
      </c>
      <c r="H14" s="74">
        <f t="shared" si="4"/>
        <v>2.3485622067908962</v>
      </c>
      <c r="I14" s="117">
        <f t="shared" si="2"/>
        <v>0</v>
      </c>
      <c r="J14" s="117">
        <f t="shared" si="5"/>
        <v>0</v>
      </c>
      <c r="K14" s="117">
        <f t="shared" si="6"/>
        <v>0</v>
      </c>
      <c r="L14" s="57">
        <f t="shared" si="7"/>
        <v>0</v>
      </c>
    </row>
    <row r="15" spans="1:12" ht="12.75">
      <c r="A15" s="104" t="s">
        <v>109</v>
      </c>
      <c r="B15" s="73" t="s">
        <v>101</v>
      </c>
      <c r="C15" s="45">
        <v>3091</v>
      </c>
      <c r="D15" s="74">
        <f t="shared" si="3"/>
        <v>1.09705596894209</v>
      </c>
      <c r="E15" s="74">
        <f t="shared" si="0"/>
        <v>1.0271163460935515</v>
      </c>
      <c r="F15" s="57">
        <f>НП_СП!P13</f>
        <v>9359.5</v>
      </c>
      <c r="G15" s="74">
        <f t="shared" si="1"/>
        <v>0.39759255991380926</v>
      </c>
      <c r="H15" s="74">
        <f t="shared" si="4"/>
        <v>0.38709593263312336</v>
      </c>
      <c r="I15" s="117">
        <f t="shared" si="2"/>
        <v>19999.3</v>
      </c>
      <c r="J15" s="117">
        <f>ROUND(I15/$I$19*I$26,1)</f>
        <v>8057</v>
      </c>
      <c r="K15" s="117">
        <f>ROUND(I15/$I$19*I$27,1)</f>
        <v>4153.4</v>
      </c>
      <c r="L15" s="57">
        <f t="shared" si="7"/>
        <v>12210.4</v>
      </c>
    </row>
    <row r="16" spans="1:12" ht="12.75">
      <c r="A16" s="104" t="s">
        <v>110</v>
      </c>
      <c r="B16" s="73" t="s">
        <v>101</v>
      </c>
      <c r="C16" s="45">
        <v>3247</v>
      </c>
      <c r="D16" s="74">
        <f t="shared" si="3"/>
        <v>1.0923929781336619</v>
      </c>
      <c r="E16" s="74">
        <f t="shared" si="0"/>
        <v>1.0227506307457384</v>
      </c>
      <c r="F16" s="57">
        <f>НП_СП!P14</f>
        <v>31630.199999999997</v>
      </c>
      <c r="G16" s="74">
        <f t="shared" si="1"/>
        <v>1.2790992807496504</v>
      </c>
      <c r="H16" s="74">
        <f t="shared" si="4"/>
        <v>1.250646288838752</v>
      </c>
      <c r="I16" s="117">
        <f t="shared" si="2"/>
        <v>0</v>
      </c>
      <c r="J16" s="117">
        <f t="shared" si="5"/>
        <v>0</v>
      </c>
      <c r="K16" s="117">
        <f t="shared" si="6"/>
        <v>0</v>
      </c>
      <c r="L16" s="57">
        <f t="shared" si="7"/>
        <v>0</v>
      </c>
    </row>
    <row r="17" spans="1:12" ht="12.75">
      <c r="A17" s="104" t="s">
        <v>111</v>
      </c>
      <c r="B17" s="73" t="s">
        <v>101</v>
      </c>
      <c r="C17" s="45">
        <v>4083</v>
      </c>
      <c r="D17" s="74">
        <f t="shared" si="3"/>
        <v>1.073475385745775</v>
      </c>
      <c r="E17" s="74">
        <f t="shared" si="0"/>
        <v>1.005039074616956</v>
      </c>
      <c r="F17" s="57">
        <f>НП_СП!P15</f>
        <v>39601.8</v>
      </c>
      <c r="G17" s="74">
        <f t="shared" si="1"/>
        <v>1.2735621738176601</v>
      </c>
      <c r="H17" s="74">
        <f t="shared" si="4"/>
        <v>1.267176775493077</v>
      </c>
      <c r="I17" s="117">
        <f t="shared" si="2"/>
        <v>0</v>
      </c>
      <c r="J17" s="117">
        <f>ROUND(I17/$I$19*I$26,1)</f>
        <v>0</v>
      </c>
      <c r="K17" s="117">
        <f>ROUND(I17/$I$19*I$27,1)</f>
        <v>0</v>
      </c>
      <c r="L17" s="57">
        <f t="shared" si="7"/>
        <v>0</v>
      </c>
    </row>
    <row r="18" spans="1:12" ht="12.75">
      <c r="A18" s="104" t="s">
        <v>112</v>
      </c>
      <c r="B18" s="73" t="s">
        <v>101</v>
      </c>
      <c r="C18" s="45">
        <v>5302</v>
      </c>
      <c r="D18" s="74">
        <f t="shared" si="3"/>
        <v>1.05658242172765</v>
      </c>
      <c r="E18" s="74">
        <f t="shared" si="0"/>
        <v>0.989223072545778</v>
      </c>
      <c r="F18" s="57">
        <f>НП_СП!P16</f>
        <v>10930.1</v>
      </c>
      <c r="G18" s="74">
        <f t="shared" si="1"/>
        <v>0.2706880087423131</v>
      </c>
      <c r="H18" s="74">
        <f t="shared" si="4"/>
        <v>0.27363697456600367</v>
      </c>
      <c r="I18" s="117">
        <f t="shared" si="2"/>
        <v>37813</v>
      </c>
      <c r="J18" s="117">
        <f t="shared" si="5"/>
        <v>15233.4</v>
      </c>
      <c r="K18" s="117">
        <f>ROUND(I18/$I$19*I$27,1)+0.1</f>
        <v>7852.900000000001</v>
      </c>
      <c r="L18" s="57">
        <f t="shared" si="7"/>
        <v>23086.3</v>
      </c>
    </row>
    <row r="19" spans="1:12" ht="14.25" customHeight="1">
      <c r="A19" s="75" t="s">
        <v>10</v>
      </c>
      <c r="B19" s="76"/>
      <c r="C19" s="45">
        <f>SUM(C8:C18)</f>
        <v>48463</v>
      </c>
      <c r="D19" s="77">
        <v>1</v>
      </c>
      <c r="E19" s="77">
        <v>1</v>
      </c>
      <c r="F19" s="57">
        <f>SUM(F8:F18)</f>
        <v>369084.39999999997</v>
      </c>
      <c r="G19" s="74">
        <f>F19/C19*$C$19/$F$19</f>
        <v>1</v>
      </c>
      <c r="H19" s="74">
        <f t="shared" si="4"/>
        <v>1</v>
      </c>
      <c r="I19" s="117">
        <f>SUM(I8:I18)</f>
        <v>128467.6</v>
      </c>
      <c r="J19" s="117">
        <f>SUM(J8:J18)</f>
        <v>51754.799999999996</v>
      </c>
      <c r="K19" s="117">
        <f>SUM(K8:K18)</f>
        <v>26679.600000000002</v>
      </c>
      <c r="L19" s="57">
        <f t="shared" si="7"/>
        <v>78434.4</v>
      </c>
    </row>
    <row r="20" spans="1:10" ht="20.25" customHeight="1">
      <c r="A20" s="43"/>
      <c r="B20" s="44"/>
      <c r="C20" s="43"/>
      <c r="D20" s="43"/>
      <c r="E20" s="43"/>
      <c r="F20" s="78"/>
      <c r="G20" s="46"/>
      <c r="H20" s="43"/>
      <c r="I20" s="43"/>
      <c r="J20" s="56"/>
    </row>
    <row r="21" spans="1:12" ht="12.75">
      <c r="A21" s="43"/>
      <c r="B21" s="44"/>
      <c r="C21" s="142" t="s">
        <v>133</v>
      </c>
      <c r="D21" s="142"/>
      <c r="E21" s="142"/>
      <c r="F21" s="79">
        <v>388771.6</v>
      </c>
      <c r="G21" s="46"/>
      <c r="I21" s="47"/>
      <c r="J21" s="40"/>
      <c r="K21" s="150"/>
      <c r="L21" s="150"/>
    </row>
    <row r="22" spans="3:11" ht="12.75">
      <c r="C22" s="142"/>
      <c r="D22" s="142"/>
      <c r="E22" s="142"/>
      <c r="F22" s="48" t="s">
        <v>9</v>
      </c>
      <c r="G22" s="44"/>
      <c r="K22" s="15"/>
    </row>
    <row r="23" spans="6:10" ht="12.75">
      <c r="F23" s="46"/>
      <c r="G23" s="40"/>
      <c r="I23" s="47"/>
      <c r="J23" s="47"/>
    </row>
    <row r="24" spans="3:7" ht="12.75">
      <c r="C24" s="40"/>
      <c r="F24" s="46"/>
      <c r="G24" s="50"/>
    </row>
    <row r="25" spans="2:10" ht="12.75" customHeight="1">
      <c r="B25" s="80"/>
      <c r="D25" s="143" t="s">
        <v>92</v>
      </c>
      <c r="E25" s="143"/>
      <c r="F25" s="143"/>
      <c r="G25" s="143"/>
      <c r="H25" s="53" t="s">
        <v>54</v>
      </c>
      <c r="I25" s="121">
        <f>SUM(I26:I27)</f>
        <v>78434.4209190268</v>
      </c>
      <c r="J25" s="54"/>
    </row>
    <row r="26" spans="2:10" ht="12.75" customHeight="1">
      <c r="B26" s="80"/>
      <c r="D26" s="144" t="s">
        <v>81</v>
      </c>
      <c r="E26" s="145"/>
      <c r="F26" s="145"/>
      <c r="G26" s="146"/>
      <c r="H26" s="53" t="s">
        <v>29</v>
      </c>
      <c r="I26" s="121">
        <v>51754.8</v>
      </c>
      <c r="J26" s="54"/>
    </row>
    <row r="27" spans="2:10" ht="12.75" customHeight="1">
      <c r="B27" s="80"/>
      <c r="D27" s="144" t="s">
        <v>82</v>
      </c>
      <c r="E27" s="145"/>
      <c r="F27" s="145"/>
      <c r="G27" s="146"/>
      <c r="H27" s="53" t="s">
        <v>46</v>
      </c>
      <c r="I27" s="121">
        <f>'Распределение  год'!E6</f>
        <v>26679.6209190268</v>
      </c>
      <c r="J27" s="54"/>
    </row>
    <row r="28" spans="4:10" ht="12.75" customHeight="1">
      <c r="D28" s="140" t="s">
        <v>39</v>
      </c>
      <c r="E28" s="140"/>
      <c r="F28" s="140"/>
      <c r="G28" s="140"/>
      <c r="H28" s="55" t="s">
        <v>40</v>
      </c>
      <c r="I28" s="34">
        <f>I5</f>
        <v>1.1723531629036563</v>
      </c>
      <c r="J28" s="56"/>
    </row>
    <row r="29" spans="4:10" ht="12.75">
      <c r="D29" s="141" t="s">
        <v>41</v>
      </c>
      <c r="E29" s="141"/>
      <c r="F29" s="141"/>
      <c r="G29" s="141"/>
      <c r="H29" s="55" t="s">
        <v>79</v>
      </c>
      <c r="I29" s="57">
        <f>I31+I32</f>
        <v>114854.70681410594</v>
      </c>
      <c r="J29" s="56"/>
    </row>
    <row r="30" spans="6:10" ht="12.75">
      <c r="F30" s="46"/>
      <c r="G30" s="40"/>
      <c r="I30" s="119">
        <f>L19+ОФФПП_ГП!L12</f>
        <v>114854.7</v>
      </c>
      <c r="J30" s="47"/>
    </row>
    <row r="31" spans="4:10" ht="12.75">
      <c r="D31" s="130" t="s">
        <v>74</v>
      </c>
      <c r="E31" s="130"/>
      <c r="F31" s="130"/>
      <c r="G31" s="130"/>
      <c r="H31" s="48" t="s">
        <v>28</v>
      </c>
      <c r="I31" s="57">
        <f>ОФФПП_ГП!I24</f>
        <v>69813.20000000001</v>
      </c>
      <c r="J31" s="47"/>
    </row>
    <row r="32" spans="4:10" ht="12.75">
      <c r="D32" s="130" t="s">
        <v>75</v>
      </c>
      <c r="E32" s="130"/>
      <c r="F32" s="130"/>
      <c r="G32" s="130"/>
      <c r="H32" s="48" t="s">
        <v>64</v>
      </c>
      <c r="I32" s="57">
        <f>ОФФПП_ГП!I25</f>
        <v>45041.50681410593</v>
      </c>
      <c r="J32" s="47"/>
    </row>
    <row r="33" spans="6:10" ht="12.75">
      <c r="F33" s="46"/>
      <c r="G33" s="40"/>
      <c r="I33" s="47"/>
      <c r="J33" s="47"/>
    </row>
    <row r="34" spans="6:10" ht="12.75">
      <c r="F34" s="46"/>
      <c r="G34" s="40"/>
      <c r="I34" s="47"/>
      <c r="J34" s="47"/>
    </row>
    <row r="35" spans="6:10" ht="12.75">
      <c r="F35" s="46"/>
      <c r="G35" s="40"/>
      <c r="I35" s="47"/>
      <c r="J35" s="47"/>
    </row>
    <row r="36" spans="6:10" ht="12.75">
      <c r="F36" s="40"/>
      <c r="G36" s="40"/>
      <c r="I36" s="47"/>
      <c r="J36" s="47"/>
    </row>
  </sheetData>
  <sheetProtection/>
  <mergeCells count="16">
    <mergeCell ref="C21:E22"/>
    <mergeCell ref="K21:L21"/>
    <mergeCell ref="A4:A5"/>
    <mergeCell ref="E4:E5"/>
    <mergeCell ref="G4:G5"/>
    <mergeCell ref="H4:H5"/>
    <mergeCell ref="D31:G31"/>
    <mergeCell ref="D32:G32"/>
    <mergeCell ref="D29:G29"/>
    <mergeCell ref="D25:G25"/>
    <mergeCell ref="A2:L2"/>
    <mergeCell ref="H1:L1"/>
    <mergeCell ref="D28:G28"/>
    <mergeCell ref="J4:L4"/>
    <mergeCell ref="D26:G26"/>
    <mergeCell ref="D27:G27"/>
  </mergeCells>
  <printOptions/>
  <pageMargins left="0" right="0" top="0.7480314960629921" bottom="0.7480314960629921" header="0.31496062992125984" footer="0.31496062992125984"/>
  <pageSetup fitToHeight="12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9.00390625" style="59" customWidth="1"/>
    <col min="2" max="2" width="58.00390625" style="59" customWidth="1"/>
    <col min="3" max="3" width="13.125" style="59" customWidth="1"/>
    <col min="4" max="4" width="27.375" style="59" customWidth="1"/>
    <col min="5" max="5" width="18.125" style="59" hidden="1" customWidth="1"/>
    <col min="6" max="6" width="22.375" style="59" hidden="1" customWidth="1"/>
    <col min="7" max="7" width="21.125" style="59" customWidth="1"/>
    <col min="8" max="8" width="17.25390625" style="59" customWidth="1"/>
    <col min="9" max="16384" width="9.125" style="59" customWidth="1"/>
  </cols>
  <sheetData>
    <row r="1" spans="1:4" ht="44.25" customHeight="1">
      <c r="A1" s="152" t="s">
        <v>113</v>
      </c>
      <c r="B1" s="152"/>
      <c r="C1" s="152"/>
      <c r="D1" s="152"/>
    </row>
    <row r="2" spans="1:4" ht="107.25" customHeight="1">
      <c r="A2" s="151" t="s">
        <v>134</v>
      </c>
      <c r="B2" s="151"/>
      <c r="C2" s="151"/>
      <c r="D2" s="151"/>
    </row>
    <row r="3" spans="1:7" ht="48.75" customHeight="1">
      <c r="A3" s="101" t="s">
        <v>20</v>
      </c>
      <c r="B3" s="101" t="s">
        <v>90</v>
      </c>
      <c r="C3" s="101" t="s">
        <v>89</v>
      </c>
      <c r="D3" s="101" t="s">
        <v>91</v>
      </c>
      <c r="G3" s="115"/>
    </row>
    <row r="4" spans="1:6" ht="24.75" customHeight="1">
      <c r="A4" s="62">
        <v>1</v>
      </c>
      <c r="B4" s="58" t="s">
        <v>120</v>
      </c>
      <c r="C4" s="62" t="s">
        <v>87</v>
      </c>
      <c r="D4" s="60">
        <v>78421</v>
      </c>
      <c r="E4" s="59">
        <v>73</v>
      </c>
      <c r="F4" s="59">
        <v>73475</v>
      </c>
    </row>
    <row r="5" spans="1:6" ht="30" customHeight="1">
      <c r="A5" s="62">
        <v>2</v>
      </c>
      <c r="B5" s="58" t="s">
        <v>114</v>
      </c>
      <c r="C5" s="62" t="s">
        <v>119</v>
      </c>
      <c r="D5" s="116">
        <v>39607.3</v>
      </c>
      <c r="E5" s="59">
        <v>34088</v>
      </c>
      <c r="F5" s="59">
        <v>34309900</v>
      </c>
    </row>
    <row r="6" spans="1:6" ht="27" customHeight="1">
      <c r="A6" s="62" t="s">
        <v>85</v>
      </c>
      <c r="B6" s="58" t="s">
        <v>124</v>
      </c>
      <c r="C6" s="62" t="s">
        <v>84</v>
      </c>
      <c r="D6" s="99">
        <f>D5/D4</f>
        <v>0.5050598691676975</v>
      </c>
      <c r="E6" s="108">
        <f>E5/E4</f>
        <v>466.958904109589</v>
      </c>
      <c r="F6" s="108">
        <f>F5/F4</f>
        <v>466.9601905410003</v>
      </c>
    </row>
    <row r="7" spans="1:6" ht="30" customHeight="1">
      <c r="A7" s="62">
        <v>4</v>
      </c>
      <c r="B7" s="58" t="s">
        <v>117</v>
      </c>
      <c r="C7" s="62"/>
      <c r="D7" s="124">
        <v>1.09</v>
      </c>
      <c r="E7" s="109">
        <v>1.04</v>
      </c>
      <c r="F7" s="59">
        <v>1.04</v>
      </c>
    </row>
    <row r="8" spans="1:6" ht="26.25" customHeight="1">
      <c r="A8" s="62" t="s">
        <v>86</v>
      </c>
      <c r="B8" s="58" t="s">
        <v>118</v>
      </c>
      <c r="C8" s="62" t="s">
        <v>84</v>
      </c>
      <c r="D8" s="99">
        <f>D6*D7</f>
        <v>0.5505152573927903</v>
      </c>
      <c r="E8" s="108">
        <f>E6*E7</f>
        <v>485.6372602739726</v>
      </c>
      <c r="F8" s="108">
        <f>F6*F7</f>
        <v>485.63859816264033</v>
      </c>
    </row>
    <row r="9" spans="1:6" ht="25.5" customHeight="1">
      <c r="A9" s="62">
        <v>6</v>
      </c>
      <c r="B9" s="58" t="s">
        <v>135</v>
      </c>
      <c r="C9" s="62" t="s">
        <v>87</v>
      </c>
      <c r="D9" s="60">
        <f>'Распределение  год'!C7</f>
        <v>81817</v>
      </c>
      <c r="E9" s="59">
        <v>77</v>
      </c>
      <c r="F9" s="59">
        <v>76786</v>
      </c>
    </row>
    <row r="10" spans="1:6" s="66" customFormat="1" ht="28.5" customHeight="1">
      <c r="A10" s="100" t="s">
        <v>88</v>
      </c>
      <c r="B10" s="63" t="s">
        <v>116</v>
      </c>
      <c r="C10" s="100" t="s">
        <v>9</v>
      </c>
      <c r="D10" s="122">
        <f>D8*D9</f>
        <v>45041.506814105924</v>
      </c>
      <c r="E10" s="110">
        <f>E8*E9</f>
        <v>37394.069041095885</v>
      </c>
      <c r="F10" s="111">
        <f>F8*F9</f>
        <v>37290245.3985165</v>
      </c>
    </row>
    <row r="11" ht="18.75">
      <c r="D11" s="108"/>
    </row>
    <row r="12" spans="2:4" ht="18.75">
      <c r="B12" s="153"/>
      <c r="C12" s="153"/>
      <c r="D12" s="125"/>
    </row>
  </sheetData>
  <sheetProtection/>
  <mergeCells count="3">
    <mergeCell ref="A2:D2"/>
    <mergeCell ref="A1:D1"/>
    <mergeCell ref="B12:C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33.875" style="59" customWidth="1"/>
    <col min="2" max="2" width="10.875" style="59" customWidth="1"/>
    <col min="3" max="3" width="25.75390625" style="59" customWidth="1"/>
    <col min="4" max="4" width="10.625" style="59" customWidth="1"/>
    <col min="5" max="5" width="27.375" style="59" customWidth="1"/>
    <col min="6" max="16384" width="9.125" style="59" customWidth="1"/>
  </cols>
  <sheetData>
    <row r="1" spans="1:5" ht="44.25" customHeight="1">
      <c r="A1" s="152" t="s">
        <v>56</v>
      </c>
      <c r="B1" s="152"/>
      <c r="C1" s="152"/>
      <c r="D1" s="152"/>
      <c r="E1" s="152"/>
    </row>
    <row r="2" spans="1:5" ht="160.5" customHeight="1">
      <c r="A2" s="155" t="s">
        <v>137</v>
      </c>
      <c r="B2" s="155"/>
      <c r="C2" s="155"/>
      <c r="D2" s="155"/>
      <c r="E2" s="155"/>
    </row>
    <row r="3" spans="1:5" ht="44.25" customHeight="1">
      <c r="A3" s="58"/>
      <c r="B3" s="156" t="s">
        <v>136</v>
      </c>
      <c r="C3" s="157"/>
      <c r="D3" s="156" t="s">
        <v>61</v>
      </c>
      <c r="E3" s="157"/>
    </row>
    <row r="4" spans="1:5" ht="28.5" customHeight="1">
      <c r="A4" s="62">
        <v>1</v>
      </c>
      <c r="B4" s="156">
        <v>2</v>
      </c>
      <c r="C4" s="157"/>
      <c r="D4" s="156" t="s">
        <v>60</v>
      </c>
      <c r="E4" s="157"/>
    </row>
    <row r="5" spans="1:5" ht="28.5" customHeight="1">
      <c r="A5" s="58" t="s">
        <v>58</v>
      </c>
      <c r="B5" s="62" t="s">
        <v>65</v>
      </c>
      <c r="C5" s="60">
        <f>ОФФПП_ГП!C12</f>
        <v>33354</v>
      </c>
      <c r="D5" s="60" t="s">
        <v>62</v>
      </c>
      <c r="E5" s="116">
        <f>(C5*E$7/C$7)</f>
        <v>18361.88589507913</v>
      </c>
    </row>
    <row r="6" spans="1:5" ht="29.25" customHeight="1">
      <c r="A6" s="58" t="s">
        <v>59</v>
      </c>
      <c r="B6" s="68" t="s">
        <v>66</v>
      </c>
      <c r="C6" s="60">
        <f>ОФФПП_СП!C19</f>
        <v>48463</v>
      </c>
      <c r="D6" s="60" t="s">
        <v>63</v>
      </c>
      <c r="E6" s="116">
        <f>(C6*E$7/C$7)</f>
        <v>26679.6209190268</v>
      </c>
    </row>
    <row r="7" spans="1:5" s="66" customFormat="1" ht="24.75" customHeight="1">
      <c r="A7" s="63" t="s">
        <v>14</v>
      </c>
      <c r="B7" s="69" t="s">
        <v>30</v>
      </c>
      <c r="C7" s="64">
        <f>SUM(C5:C6)</f>
        <v>81817</v>
      </c>
      <c r="D7" s="64" t="s">
        <v>64</v>
      </c>
      <c r="E7" s="65">
        <f>'Расчет на 23 год '!D10</f>
        <v>45041.506814105924</v>
      </c>
    </row>
    <row r="9" spans="1:4" ht="18.75">
      <c r="A9" s="154"/>
      <c r="B9" s="154"/>
      <c r="C9" s="154"/>
      <c r="D9" s="61"/>
    </row>
  </sheetData>
  <sheetProtection/>
  <mergeCells count="7">
    <mergeCell ref="A9:C9"/>
    <mergeCell ref="A2:E2"/>
    <mergeCell ref="A1:E1"/>
    <mergeCell ref="D4:E4"/>
    <mergeCell ref="D3:E3"/>
    <mergeCell ref="B3:C3"/>
    <mergeCell ref="B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B1">
      <selection activeCell="S27" sqref="S27"/>
    </sheetView>
  </sheetViews>
  <sheetFormatPr defaultColWidth="9.00390625" defaultRowHeight="12.75"/>
  <cols>
    <col min="2" max="2" width="57.375" style="0" customWidth="1"/>
    <col min="3" max="3" width="14.00390625" style="0" customWidth="1"/>
    <col min="4" max="4" width="21.875" style="0" customWidth="1"/>
    <col min="5" max="5" width="5.00390625" style="0" customWidth="1"/>
    <col min="6" max="6" width="15.25390625" style="0" customWidth="1"/>
  </cols>
  <sheetData>
    <row r="1" spans="1:4" ht="50.25" customHeight="1">
      <c r="A1" s="152" t="s">
        <v>76</v>
      </c>
      <c r="B1" s="152"/>
      <c r="C1" s="152"/>
      <c r="D1" s="152"/>
    </row>
    <row r="2" spans="1:4" ht="95.25" customHeight="1">
      <c r="A2" s="151" t="s">
        <v>138</v>
      </c>
      <c r="B2" s="151"/>
      <c r="C2" s="151"/>
      <c r="D2" s="151"/>
    </row>
    <row r="3" spans="1:4" ht="75" customHeight="1">
      <c r="A3" s="101" t="s">
        <v>20</v>
      </c>
      <c r="B3" s="101" t="s">
        <v>90</v>
      </c>
      <c r="C3" s="101" t="s">
        <v>89</v>
      </c>
      <c r="D3" s="101" t="s">
        <v>91</v>
      </c>
    </row>
    <row r="4" spans="1:4" ht="27" customHeight="1">
      <c r="A4" s="62">
        <v>1</v>
      </c>
      <c r="B4" s="58" t="s">
        <v>135</v>
      </c>
      <c r="C4" s="62" t="s">
        <v>87</v>
      </c>
      <c r="D4" s="60">
        <v>81817</v>
      </c>
    </row>
    <row r="5" spans="1:4" ht="23.25" customHeight="1">
      <c r="A5" s="62">
        <v>2</v>
      </c>
      <c r="B5" s="58" t="s">
        <v>116</v>
      </c>
      <c r="C5" s="62" t="s">
        <v>119</v>
      </c>
      <c r="D5" s="116">
        <v>45041.5</v>
      </c>
    </row>
    <row r="6" spans="1:4" ht="24" customHeight="1">
      <c r="A6" s="62" t="s">
        <v>85</v>
      </c>
      <c r="B6" s="58" t="s">
        <v>118</v>
      </c>
      <c r="C6" s="62" t="s">
        <v>84</v>
      </c>
      <c r="D6" s="99">
        <f>D5/D4</f>
        <v>0.5505151741080705</v>
      </c>
    </row>
    <row r="7" spans="1:4" ht="23.25" customHeight="1">
      <c r="A7" s="62">
        <v>4</v>
      </c>
      <c r="B7" s="58" t="s">
        <v>122</v>
      </c>
      <c r="C7" s="62"/>
      <c r="D7" s="99">
        <v>1.046</v>
      </c>
    </row>
    <row r="8" spans="1:4" ht="25.5" customHeight="1">
      <c r="A8" s="62" t="s">
        <v>86</v>
      </c>
      <c r="B8" s="58" t="s">
        <v>123</v>
      </c>
      <c r="C8" s="62" t="s">
        <v>84</v>
      </c>
      <c r="D8" s="113">
        <f>D6*D7</f>
        <v>0.5758388721170418</v>
      </c>
    </row>
    <row r="9" spans="1:4" ht="26.25" customHeight="1">
      <c r="A9" s="62">
        <v>6</v>
      </c>
      <c r="B9" s="58" t="s">
        <v>139</v>
      </c>
      <c r="C9" s="62" t="s">
        <v>87</v>
      </c>
      <c r="D9" s="114">
        <v>81817</v>
      </c>
    </row>
    <row r="10" spans="1:4" ht="24.75" customHeight="1">
      <c r="A10" s="100" t="s">
        <v>88</v>
      </c>
      <c r="B10" s="63" t="s">
        <v>121</v>
      </c>
      <c r="C10" s="100" t="s">
        <v>9</v>
      </c>
      <c r="D10" s="122">
        <f>D8*D9</f>
        <v>47113.40900000001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6.375" style="0" customWidth="1"/>
    <col min="2" max="2" width="13.75390625" style="0" customWidth="1"/>
    <col min="3" max="3" width="22.25390625" style="0" customWidth="1"/>
    <col min="4" max="4" width="18.375" style="0" customWidth="1"/>
    <col min="5" max="5" width="17.75390625" style="0" customWidth="1"/>
  </cols>
  <sheetData>
    <row r="1" spans="1:5" ht="53.25" customHeight="1">
      <c r="A1" s="152" t="s">
        <v>115</v>
      </c>
      <c r="B1" s="152"/>
      <c r="C1" s="152"/>
      <c r="D1" s="152"/>
      <c r="E1" s="152"/>
    </row>
    <row r="2" spans="1:5" ht="132" customHeight="1">
      <c r="A2" s="155" t="s">
        <v>145</v>
      </c>
      <c r="B2" s="155"/>
      <c r="C2" s="155"/>
      <c r="D2" s="155"/>
      <c r="E2" s="155"/>
    </row>
    <row r="3" spans="1:5" ht="45" customHeight="1">
      <c r="A3" s="58"/>
      <c r="B3" s="156" t="s">
        <v>136</v>
      </c>
      <c r="C3" s="157"/>
      <c r="D3" s="156" t="s">
        <v>61</v>
      </c>
      <c r="E3" s="157"/>
    </row>
    <row r="4" spans="1:5" ht="18.75">
      <c r="A4" s="62">
        <v>1</v>
      </c>
      <c r="B4" s="156">
        <v>2</v>
      </c>
      <c r="C4" s="157"/>
      <c r="D4" s="156" t="s">
        <v>60</v>
      </c>
      <c r="E4" s="157"/>
    </row>
    <row r="5" spans="1:5" ht="25.5" customHeight="1">
      <c r="A5" s="58" t="s">
        <v>58</v>
      </c>
      <c r="B5" s="62" t="s">
        <v>65</v>
      </c>
      <c r="C5" s="60">
        <v>33354</v>
      </c>
      <c r="D5" s="60" t="s">
        <v>62</v>
      </c>
      <c r="E5" s="116">
        <f>C5*E7/C7</f>
        <v>19206.52974059181</v>
      </c>
    </row>
    <row r="6" spans="1:5" ht="25.5" customHeight="1">
      <c r="A6" s="58" t="s">
        <v>59</v>
      </c>
      <c r="B6" s="68" t="s">
        <v>66</v>
      </c>
      <c r="C6" s="60">
        <v>48463</v>
      </c>
      <c r="D6" s="60" t="s">
        <v>63</v>
      </c>
      <c r="E6" s="116">
        <f>C6*E7/C7</f>
        <v>27906.879259408193</v>
      </c>
    </row>
    <row r="7" spans="1:5" ht="25.5" customHeight="1">
      <c r="A7" s="63" t="s">
        <v>14</v>
      </c>
      <c r="B7" s="69" t="s">
        <v>30</v>
      </c>
      <c r="C7" s="64">
        <f>SUM(C5:C6)</f>
        <v>81817</v>
      </c>
      <c r="D7" s="64" t="s">
        <v>64</v>
      </c>
      <c r="E7" s="65">
        <f>'Расчет на 24 год'!D10</f>
        <v>47113.40900000001</v>
      </c>
    </row>
    <row r="8" ht="16.5" customHeight="1"/>
  </sheetData>
  <sheetProtection/>
  <mergeCells count="6">
    <mergeCell ref="A1:E1"/>
    <mergeCell ref="A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Katya</cp:lastModifiedBy>
  <cp:lastPrinted>2022-09-01T07:58:44Z</cp:lastPrinted>
  <dcterms:created xsi:type="dcterms:W3CDTF">2015-10-16T11:43:47Z</dcterms:created>
  <dcterms:modified xsi:type="dcterms:W3CDTF">2023-01-19T07:56:59Z</dcterms:modified>
  <cp:category/>
  <cp:version/>
  <cp:contentType/>
  <cp:contentStatus/>
</cp:coreProperties>
</file>